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C:\Users\richard.taylor\Documents\Ricardo External\KateThompson - Advanced Fuels Fund (AFF) Competition\Window 3 Launch\Design docs\Updates\"/>
    </mc:Choice>
  </mc:AlternateContent>
  <xr:revisionPtr revIDLastSave="0" documentId="13_ncr:1_{E94088F4-F441-48B5-B619-1787DE0B70CA}" xr6:coauthVersionLast="47" xr6:coauthVersionMax="47" xr10:uidLastSave="{00000000-0000-0000-0000-000000000000}"/>
  <bookViews>
    <workbookView xWindow="-110" yWindow="-110" windowWidth="38620" windowHeight="21100" tabRatio="823" xr2:uid="{55DF6E7C-1012-4F7A-AF19-6B59C73FE14E}"/>
  </bookViews>
  <sheets>
    <sheet name="Guidance" sheetId="14" r:id="rId1"/>
    <sheet name="Units" sheetId="7" r:id="rId2"/>
    <sheet name="Assumptions" sheetId="25" r:id="rId3"/>
    <sheet name="Summary" sheetId="24" r:id="rId4"/>
    <sheet name="System Boundary" sheetId="8" r:id="rId5"/>
    <sheet name="Additional evidence" sheetId="27" r:id="rId6"/>
    <sheet name="RCF counterfactual" sheetId="28" r:id="rId7"/>
    <sheet name="Feedstock collection" sheetId="15" r:id="rId8"/>
    <sheet name="Feedstock transport" sheetId="4" r:id="rId9"/>
    <sheet name="Pre-processing" sheetId="16" r:id="rId10"/>
    <sheet name="Intermediate transport" sheetId="17" r:id="rId11"/>
    <sheet name="Conversion" sheetId="9" r:id="rId12"/>
    <sheet name="Further transport" sheetId="18" r:id="rId13"/>
    <sheet name="Upgrading to fuel" sheetId="19" r:id="rId14"/>
    <sheet name="Fuel distribution 1" sheetId="20" r:id="rId15"/>
    <sheet name="Fuel storage" sheetId="21" r:id="rId16"/>
    <sheet name="Fuel distribution 2" sheetId="22" r:id="rId17"/>
    <sheet name="Refuelling" sheetId="23" r:id="rId18"/>
  </sheets>
  <externalReferences>
    <externalReference r:id="rId19"/>
    <externalReference r:id="rId20"/>
  </externalReferences>
  <definedNames>
    <definedName name="__1234Graph_A" localSheetId="6" hidden="1">[1]Depreciation!#REF!</definedName>
    <definedName name="__1234Graph_A" hidden="1">[1]Depreciation!#REF!</definedName>
    <definedName name="__123Graph_A" localSheetId="6" hidden="1">[1]Depreciation!#REF!</definedName>
    <definedName name="__123Graph_A" hidden="1">[1]Depreciation!#REF!</definedName>
    <definedName name="__123Graph_B" localSheetId="6" hidden="1">[1]Depreciation!#REF!</definedName>
    <definedName name="__123Graph_B" hidden="1">[1]Depreciation!#REF!</definedName>
    <definedName name="__123Graph_C" localSheetId="6" hidden="1">[1]Depreciation!#REF!</definedName>
    <definedName name="__123Graph_C" hidden="1">[1]Depreciation!#REF!</definedName>
    <definedName name="__123Graph_D" localSheetId="6" hidden="1">[1]Depreciation!#REF!</definedName>
    <definedName name="__123Graph_D" hidden="1">[1]Depreciation!#REF!</definedName>
    <definedName name="__123Graph_E" localSheetId="6" hidden="1">[1]Depreciation!#REF!</definedName>
    <definedName name="__123Graph_E" hidden="1">[1]Depreciation!#REF!</definedName>
    <definedName name="__123Graph_F" localSheetId="6" hidden="1">[1]Depreciation!#REF!</definedName>
    <definedName name="__123Graph_F" hidden="1">[1]Depreciation!#REF!</definedName>
    <definedName name="__123Graph_X" localSheetId="6" hidden="1">[1]Depreciation!#REF!</definedName>
    <definedName name="__123Graph_X" hidden="1">[1]Depreciation!#REF!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1" hidden="1">255</definedName>
    <definedName name="_Order2" hidden="1">255</definedName>
    <definedName name="_Table1_In1" hidden="1">#REF!</definedName>
    <definedName name="_Table1_Out" hidden="1">#REF!</definedName>
    <definedName name="aadsds"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nscount" hidden="1">1</definedName>
    <definedName name="bbl_to_USgal">Units!$C$25</definedName>
    <definedName name="CBWorkbookPriority" hidden="1">-1631513760</definedName>
    <definedName name="Conversion_kWh_to_MJ">[2]Units!$C$8</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39343.6573842593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kWh_to_MJ">Units!$C$8</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b_inputLocation" localSheetId="6" hidden="1">#REF!</definedName>
    <definedName name="mb_inputLocation" hidden="1">#REF!</definedName>
    <definedName name="RiskAfterRecalcMacro" hidden="1">"BetweenIterationsMacro"</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2009000</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FALSE</definedName>
    <definedName name="UNI_AA_VERSION" hidden="1">"150.2.0"</definedName>
    <definedName name="UNI_FILT_END" hidden="1">8</definedName>
    <definedName name="UNI_FILT_OFFSPEC" hidden="1">2</definedName>
    <definedName name="UNI_FILT_ONSPEC" hidden="1">1</definedName>
    <definedName name="UNI_FILT_START" hidden="1">4</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POST" hidden="1">256</definedName>
    <definedName name="UNI_PRES_PRIOR" hidden="1">2048</definedName>
    <definedName name="UNI_PRES_RECENT" hidden="1">1024</definedName>
    <definedName name="UNI_PRES_STATIC" hidden="1">128</definedName>
    <definedName name="UNI_RET_ATTRIB" hidden="1">64</definedName>
    <definedName name="UNI_RET_CONF" hidden="1">32</definedName>
    <definedName name="UNI_RET_DESC" hidden="1">4</definedName>
    <definedName name="UNI_RET_END" hidden="1">16384</definedName>
    <definedName name="UNI_RET_EQUIP" hidden="1">32768</definedName>
    <definedName name="UNI_RET_EVENT" hidden="1">4096</definedName>
    <definedName name="UNI_RET_OFFSPEC" hidden="1">512</definedName>
    <definedName name="UNI_RET_ONSPEC" hidden="1">256</definedName>
    <definedName name="UNI_RET_PROP" hidden="1">131072</definedName>
    <definedName name="UNI_RET_PROPDESC" hidden="1">262144</definedName>
    <definedName name="UNI_RET_SMPLPNT" hidden="1">65536</definedName>
    <definedName name="UNI_RET_SPECMAX" hidden="1">2048</definedName>
    <definedName name="UNI_RET_SPECMIN" hidden="1">1024</definedName>
    <definedName name="UNI_RET_START" hidden="1">8192</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rn.My._.estimate._.report." localSheetId="6" hidden="1">{"Equipment",#N/A,FALSE,"A";"Summary",#N/A,FALSE,"B"}</definedName>
    <definedName name="wrn.My._.estimate._.report." localSheetId="1" hidden="1">{"Equipment",#N/A,FALSE,"A";"Summary",#N/A,FALSE,"B"}</definedName>
    <definedName name="wrn.My._.estimate._.report." hidden="1">{"Equipment",#N/A,FALSE,"A";"Summary",#N/A,FALSE,"B"}</definedName>
    <definedName name="Yes_No">Units!$B$89:$B$90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8" i="16" l="1"/>
  <c r="O37" i="16"/>
  <c r="O36" i="16"/>
  <c r="O35" i="16"/>
  <c r="O34" i="16"/>
  <c r="O33" i="16"/>
  <c r="O32" i="16"/>
  <c r="O31" i="16"/>
  <c r="O30" i="16"/>
  <c r="O29" i="16"/>
  <c r="O28" i="16"/>
  <c r="O27" i="16"/>
  <c r="O26" i="16"/>
  <c r="O25" i="16"/>
  <c r="O24" i="16"/>
  <c r="O23" i="16"/>
  <c r="O22" i="16"/>
  <c r="O21" i="16"/>
  <c r="O20" i="16"/>
  <c r="O19" i="16"/>
  <c r="O18" i="16"/>
  <c r="O17" i="16"/>
  <c r="W35" i="16" s="1"/>
  <c r="O14" i="16"/>
  <c r="O13" i="16"/>
  <c r="O12" i="16"/>
  <c r="O11" i="16"/>
  <c r="O10" i="16"/>
  <c r="O9" i="16"/>
  <c r="O8" i="16"/>
  <c r="O7" i="16"/>
  <c r="O6" i="16"/>
  <c r="O5" i="16"/>
  <c r="O38" i="9"/>
  <c r="O37" i="9"/>
  <c r="O36" i="9"/>
  <c r="O35" i="9"/>
  <c r="O34" i="9"/>
  <c r="O33" i="9"/>
  <c r="O32" i="9"/>
  <c r="O31" i="9"/>
  <c r="O30" i="9"/>
  <c r="O29" i="9"/>
  <c r="O28" i="9"/>
  <c r="O27" i="9"/>
  <c r="O26" i="9"/>
  <c r="O25" i="9"/>
  <c r="O24" i="9"/>
  <c r="O23" i="9"/>
  <c r="O22" i="9"/>
  <c r="O21" i="9"/>
  <c r="O20" i="9"/>
  <c r="O19" i="9"/>
  <c r="O18" i="9"/>
  <c r="O17" i="9"/>
  <c r="O14" i="9"/>
  <c r="O13" i="9"/>
  <c r="O12" i="9"/>
  <c r="O11" i="9"/>
  <c r="O10" i="9"/>
  <c r="O9" i="9"/>
  <c r="O8" i="9"/>
  <c r="O7" i="9"/>
  <c r="O6" i="9"/>
  <c r="O5" i="9"/>
  <c r="P17" i="9" s="1"/>
  <c r="O38" i="19"/>
  <c r="O37" i="19"/>
  <c r="O36" i="19"/>
  <c r="O35" i="19"/>
  <c r="O34" i="19"/>
  <c r="O33" i="19"/>
  <c r="O32" i="19"/>
  <c r="O31" i="19"/>
  <c r="O30" i="19"/>
  <c r="O29" i="19"/>
  <c r="O28" i="19"/>
  <c r="O27" i="19"/>
  <c r="O26" i="19"/>
  <c r="O25" i="19"/>
  <c r="O24" i="19"/>
  <c r="O23" i="19"/>
  <c r="O22" i="19"/>
  <c r="O21" i="19"/>
  <c r="O20" i="19"/>
  <c r="O19" i="19"/>
  <c r="O18" i="19"/>
  <c r="O17" i="19"/>
  <c r="O14" i="19"/>
  <c r="O13" i="19"/>
  <c r="O12" i="19"/>
  <c r="O11" i="19"/>
  <c r="O10" i="19"/>
  <c r="O9" i="19"/>
  <c r="O8" i="19"/>
  <c r="O7" i="19"/>
  <c r="O6" i="19"/>
  <c r="O5" i="19"/>
  <c r="O33" i="23"/>
  <c r="O32" i="23"/>
  <c r="O31" i="23"/>
  <c r="O30" i="23"/>
  <c r="O29" i="23"/>
  <c r="O28" i="23"/>
  <c r="O27" i="23"/>
  <c r="O26" i="23"/>
  <c r="O25" i="23"/>
  <c r="O24" i="23"/>
  <c r="O23" i="23"/>
  <c r="O22" i="23"/>
  <c r="O21" i="23"/>
  <c r="O20" i="23"/>
  <c r="O19" i="23"/>
  <c r="O18" i="23"/>
  <c r="O17" i="23"/>
  <c r="W7" i="23" s="1"/>
  <c r="O14" i="23"/>
  <c r="O13" i="23"/>
  <c r="O12" i="23"/>
  <c r="O11" i="23"/>
  <c r="O10" i="23"/>
  <c r="O9" i="23"/>
  <c r="O8" i="23"/>
  <c r="O7" i="23"/>
  <c r="O6" i="23"/>
  <c r="O5" i="23"/>
  <c r="O33" i="22"/>
  <c r="O32" i="22"/>
  <c r="O31" i="22"/>
  <c r="O30" i="22"/>
  <c r="O29" i="22"/>
  <c r="O28" i="22"/>
  <c r="O27" i="22"/>
  <c r="O26" i="22"/>
  <c r="O25" i="22"/>
  <c r="O24" i="22"/>
  <c r="O23" i="22"/>
  <c r="O22" i="22"/>
  <c r="O21" i="22"/>
  <c r="O20" i="22"/>
  <c r="O19" i="22"/>
  <c r="O18" i="22"/>
  <c r="O17" i="22"/>
  <c r="O14" i="22"/>
  <c r="O13" i="22"/>
  <c r="O12" i="22"/>
  <c r="O11" i="22"/>
  <c r="O10" i="22"/>
  <c r="O9" i="22"/>
  <c r="O8" i="22"/>
  <c r="O7" i="22"/>
  <c r="O6" i="22"/>
  <c r="O5" i="22"/>
  <c r="O33" i="21"/>
  <c r="O32" i="21"/>
  <c r="O31" i="21"/>
  <c r="O30" i="21"/>
  <c r="O29" i="21"/>
  <c r="O28" i="21"/>
  <c r="O27" i="21"/>
  <c r="O26" i="21"/>
  <c r="O25" i="21"/>
  <c r="O24" i="21"/>
  <c r="O23" i="21"/>
  <c r="O22" i="21"/>
  <c r="O21" i="21"/>
  <c r="O20" i="21"/>
  <c r="O19" i="21"/>
  <c r="O18" i="21"/>
  <c r="O17" i="21"/>
  <c r="P17" i="21" s="1"/>
  <c r="O14" i="21"/>
  <c r="O13" i="21"/>
  <c r="O12" i="21"/>
  <c r="O11" i="21"/>
  <c r="O10" i="21"/>
  <c r="O9" i="21"/>
  <c r="O8" i="21"/>
  <c r="O7" i="21"/>
  <c r="O6" i="21"/>
  <c r="O5" i="21"/>
  <c r="O33" i="20"/>
  <c r="O32" i="20"/>
  <c r="O31" i="20"/>
  <c r="O30" i="20"/>
  <c r="O29" i="20"/>
  <c r="O28" i="20"/>
  <c r="O27" i="20"/>
  <c r="O26" i="20"/>
  <c r="O25" i="20"/>
  <c r="O24" i="20"/>
  <c r="O23" i="20"/>
  <c r="O22" i="20"/>
  <c r="O21" i="20"/>
  <c r="O20" i="20"/>
  <c r="O19" i="20"/>
  <c r="O18" i="20"/>
  <c r="O17" i="20"/>
  <c r="O14" i="20"/>
  <c r="O13" i="20"/>
  <c r="O12" i="20"/>
  <c r="O11" i="20"/>
  <c r="O10" i="20"/>
  <c r="O9" i="20"/>
  <c r="O8" i="20"/>
  <c r="O7" i="20"/>
  <c r="O6" i="20"/>
  <c r="O5" i="20"/>
  <c r="O33" i="18"/>
  <c r="O32" i="18"/>
  <c r="O31" i="18"/>
  <c r="O30" i="18"/>
  <c r="O29" i="18"/>
  <c r="O28" i="18"/>
  <c r="O27" i="18"/>
  <c r="O26" i="18"/>
  <c r="O25" i="18"/>
  <c r="O24" i="18"/>
  <c r="O23" i="18"/>
  <c r="O22" i="18"/>
  <c r="O21" i="18"/>
  <c r="O20" i="18"/>
  <c r="O19" i="18"/>
  <c r="O18" i="18"/>
  <c r="O17" i="18"/>
  <c r="P17" i="18" s="1"/>
  <c r="O14" i="18"/>
  <c r="O13" i="18"/>
  <c r="O12" i="18"/>
  <c r="O11" i="18"/>
  <c r="O10" i="18"/>
  <c r="O9" i="18"/>
  <c r="O8" i="18"/>
  <c r="O7" i="18"/>
  <c r="O6" i="18"/>
  <c r="O5" i="18"/>
  <c r="O33" i="17"/>
  <c r="O32" i="17"/>
  <c r="O31" i="17"/>
  <c r="O30" i="17"/>
  <c r="O29" i="17"/>
  <c r="O28" i="17"/>
  <c r="O27" i="17"/>
  <c r="O26" i="17"/>
  <c r="O25" i="17"/>
  <c r="O24" i="17"/>
  <c r="O23" i="17"/>
  <c r="O22" i="17"/>
  <c r="O21" i="17"/>
  <c r="O20" i="17"/>
  <c r="O19" i="17"/>
  <c r="O18" i="17"/>
  <c r="O17" i="17"/>
  <c r="O14" i="17"/>
  <c r="O13" i="17"/>
  <c r="O12" i="17"/>
  <c r="O11" i="17"/>
  <c r="O10" i="17"/>
  <c r="O9" i="17"/>
  <c r="O8" i="17"/>
  <c r="O7" i="17"/>
  <c r="O6" i="17"/>
  <c r="O5" i="17"/>
  <c r="O33" i="4"/>
  <c r="O32" i="4"/>
  <c r="O31" i="4"/>
  <c r="O30" i="4"/>
  <c r="O29" i="4"/>
  <c r="O28" i="4"/>
  <c r="O27" i="4"/>
  <c r="O26" i="4"/>
  <c r="O25" i="4"/>
  <c r="O24" i="4"/>
  <c r="O23" i="4"/>
  <c r="O22" i="4"/>
  <c r="O21" i="4"/>
  <c r="O20" i="4"/>
  <c r="O19" i="4"/>
  <c r="O18" i="4"/>
  <c r="O17" i="4"/>
  <c r="O14" i="4"/>
  <c r="O13" i="4"/>
  <c r="O12" i="4"/>
  <c r="O11" i="4"/>
  <c r="O10" i="4"/>
  <c r="O9" i="4"/>
  <c r="O8" i="4"/>
  <c r="O7" i="4"/>
  <c r="O6" i="4"/>
  <c r="O5" i="4"/>
  <c r="R22" i="9"/>
  <c r="W37" i="16"/>
  <c r="W36" i="16"/>
  <c r="W30" i="16"/>
  <c r="W29" i="16"/>
  <c r="W37" i="9"/>
  <c r="W36" i="9"/>
  <c r="W35" i="9"/>
  <c r="W34" i="9"/>
  <c r="W33" i="9"/>
  <c r="W32" i="9"/>
  <c r="W31" i="9"/>
  <c r="W30" i="9"/>
  <c r="W29" i="9"/>
  <c r="W31" i="19"/>
  <c r="P17" i="15"/>
  <c r="P17" i="17"/>
  <c r="S18" i="18"/>
  <c r="R19" i="23"/>
  <c r="S19" i="23" s="1"/>
  <c r="R18" i="23"/>
  <c r="S18" i="23" s="1"/>
  <c r="S17" i="23"/>
  <c r="R17" i="23"/>
  <c r="R19" i="22"/>
  <c r="S19" i="22" s="1"/>
  <c r="R18" i="22"/>
  <c r="S18" i="22" s="1"/>
  <c r="R17" i="22"/>
  <c r="P17" i="22"/>
  <c r="R19" i="21"/>
  <c r="S19" i="21" s="1"/>
  <c r="R18" i="21"/>
  <c r="S18" i="21" s="1"/>
  <c r="R17" i="21"/>
  <c r="S17" i="21" s="1"/>
  <c r="R19" i="20"/>
  <c r="S19" i="20" s="1"/>
  <c r="R18" i="20"/>
  <c r="S17" i="20" s="1"/>
  <c r="R17" i="20"/>
  <c r="P17" i="20"/>
  <c r="R23" i="19"/>
  <c r="R22" i="19"/>
  <c r="R21" i="19"/>
  <c r="R20" i="19"/>
  <c r="R19" i="19"/>
  <c r="R18" i="19"/>
  <c r="R17" i="19"/>
  <c r="P17" i="19"/>
  <c r="R23" i="9"/>
  <c r="R21" i="9"/>
  <c r="R20" i="9"/>
  <c r="R19" i="9"/>
  <c r="R18" i="9"/>
  <c r="R17" i="9"/>
  <c r="R20" i="16"/>
  <c r="R19" i="18"/>
  <c r="R18" i="18"/>
  <c r="R17" i="18"/>
  <c r="S19" i="18" s="1"/>
  <c r="R19" i="17"/>
  <c r="S19" i="17" s="1"/>
  <c r="R18" i="17"/>
  <c r="S18" i="17" s="1"/>
  <c r="R17" i="17"/>
  <c r="S17" i="17" s="1"/>
  <c r="C5" i="23"/>
  <c r="C5" i="22"/>
  <c r="C5" i="21"/>
  <c r="C5" i="20"/>
  <c r="C5" i="19"/>
  <c r="C5" i="18"/>
  <c r="C5" i="9"/>
  <c r="C5" i="17"/>
  <c r="C5" i="16"/>
  <c r="C5" i="4"/>
  <c r="R23" i="16"/>
  <c r="R22" i="16"/>
  <c r="R21" i="16"/>
  <c r="R19" i="16"/>
  <c r="R18" i="16"/>
  <c r="R17" i="16"/>
  <c r="T5" i="23"/>
  <c r="U5" i="23"/>
  <c r="T6" i="23"/>
  <c r="U6" i="23"/>
  <c r="T7" i="23"/>
  <c r="U7" i="23"/>
  <c r="T8" i="23"/>
  <c r="U8" i="23"/>
  <c r="T9" i="23"/>
  <c r="U9" i="23"/>
  <c r="T10" i="23"/>
  <c r="U10" i="23"/>
  <c r="T11" i="23"/>
  <c r="U11" i="23"/>
  <c r="T12" i="23"/>
  <c r="U12" i="23"/>
  <c r="T13" i="23"/>
  <c r="U13" i="23"/>
  <c r="T14" i="23"/>
  <c r="U14" i="23"/>
  <c r="T20" i="23"/>
  <c r="U20" i="23"/>
  <c r="T21" i="23"/>
  <c r="U21" i="23"/>
  <c r="T22" i="23"/>
  <c r="U22" i="23"/>
  <c r="T23" i="23"/>
  <c r="U23" i="23"/>
  <c r="W29" i="23"/>
  <c r="W31" i="16" l="1"/>
  <c r="W32" i="16"/>
  <c r="W33" i="16"/>
  <c r="W34" i="16"/>
  <c r="W26" i="23"/>
  <c r="W11" i="23"/>
  <c r="P17" i="23"/>
  <c r="W12" i="23"/>
  <c r="S20" i="9"/>
  <c r="S20" i="19"/>
  <c r="S21" i="19"/>
  <c r="S18" i="19"/>
  <c r="S19" i="19"/>
  <c r="S23" i="19"/>
  <c r="P17" i="16"/>
  <c r="S20" i="16"/>
  <c r="W28" i="23"/>
  <c r="W22" i="23"/>
  <c r="W9" i="23"/>
  <c r="W27" i="23"/>
  <c r="W14" i="23"/>
  <c r="W6" i="23"/>
  <c r="W33" i="23"/>
  <c r="W25" i="23"/>
  <c r="W21" i="23"/>
  <c r="W8" i="23"/>
  <c r="W32" i="23"/>
  <c r="W24" i="23"/>
  <c r="W13" i="23"/>
  <c r="W5" i="23"/>
  <c r="W31" i="23"/>
  <c r="W23" i="23"/>
  <c r="W10" i="23"/>
  <c r="W30" i="23"/>
  <c r="W20" i="23"/>
  <c r="S17" i="22"/>
  <c r="S18" i="20"/>
  <c r="S22" i="19"/>
  <c r="S17" i="19"/>
  <c r="S23" i="9"/>
  <c r="S19" i="9"/>
  <c r="S17" i="9"/>
  <c r="S22" i="9"/>
  <c r="S18" i="9"/>
  <c r="S21" i="9"/>
  <c r="S22" i="16"/>
  <c r="S17" i="16"/>
  <c r="S21" i="16"/>
  <c r="S19" i="16"/>
  <c r="S18" i="16"/>
  <c r="S17" i="18"/>
  <c r="S23" i="16"/>
  <c r="W35" i="23" l="1"/>
  <c r="D81" i="7"/>
  <c r="D80" i="7"/>
  <c r="R17" i="4" l="1"/>
  <c r="R19" i="4"/>
  <c r="R18" i="4"/>
  <c r="R18" i="15"/>
  <c r="R19" i="15"/>
  <c r="O19" i="15"/>
  <c r="O20" i="15"/>
  <c r="O18" i="15"/>
  <c r="R17" i="15"/>
  <c r="S17" i="4" l="1"/>
  <c r="S18" i="4"/>
  <c r="S19" i="4"/>
  <c r="S19" i="15"/>
  <c r="S18" i="15"/>
  <c r="S17" i="15"/>
  <c r="U23" i="22" l="1"/>
  <c r="T23" i="22"/>
  <c r="U22" i="22"/>
  <c r="T22" i="22"/>
  <c r="U21" i="22"/>
  <c r="T21" i="22"/>
  <c r="U20" i="22"/>
  <c r="T20" i="22"/>
  <c r="U23" i="21"/>
  <c r="T23" i="21"/>
  <c r="U22" i="21"/>
  <c r="T22" i="21"/>
  <c r="U21" i="21"/>
  <c r="T21" i="21"/>
  <c r="U20" i="21"/>
  <c r="T20" i="21"/>
  <c r="U23" i="20"/>
  <c r="T23" i="20"/>
  <c r="U22" i="20"/>
  <c r="T22" i="20"/>
  <c r="U21" i="20"/>
  <c r="T21" i="20"/>
  <c r="U20" i="20"/>
  <c r="T20" i="20"/>
  <c r="U28" i="19"/>
  <c r="T28" i="19"/>
  <c r="U27" i="19"/>
  <c r="T27" i="19"/>
  <c r="U26" i="19"/>
  <c r="T26" i="19"/>
  <c r="U25" i="19"/>
  <c r="T25" i="19"/>
  <c r="U24" i="19"/>
  <c r="T24" i="19"/>
  <c r="U23" i="18"/>
  <c r="T23" i="18"/>
  <c r="U22" i="18"/>
  <c r="T22" i="18"/>
  <c r="U21" i="18"/>
  <c r="T21" i="18"/>
  <c r="U20" i="18"/>
  <c r="T20" i="18"/>
  <c r="U23" i="17"/>
  <c r="T23" i="17"/>
  <c r="U22" i="17"/>
  <c r="T22" i="17"/>
  <c r="U21" i="17"/>
  <c r="T21" i="17"/>
  <c r="U20" i="17"/>
  <c r="T20" i="17"/>
  <c r="U28" i="16"/>
  <c r="T28" i="16"/>
  <c r="U27" i="16"/>
  <c r="T27" i="16"/>
  <c r="U26" i="16"/>
  <c r="T26" i="16"/>
  <c r="U25" i="16"/>
  <c r="T25" i="16"/>
  <c r="U24" i="16"/>
  <c r="T24" i="16"/>
  <c r="U23" i="4"/>
  <c r="T23" i="4"/>
  <c r="U22" i="4"/>
  <c r="T22" i="4"/>
  <c r="U21" i="4"/>
  <c r="T21" i="4"/>
  <c r="U20" i="4"/>
  <c r="T20" i="4"/>
  <c r="W23" i="15"/>
  <c r="U23" i="15"/>
  <c r="T23" i="15"/>
  <c r="W22" i="15"/>
  <c r="U22" i="15"/>
  <c r="T22" i="15"/>
  <c r="W21" i="15"/>
  <c r="U21" i="15"/>
  <c r="T21" i="15"/>
  <c r="W20" i="15"/>
  <c r="U20" i="15"/>
  <c r="T20" i="15"/>
  <c r="O33" i="15"/>
  <c r="O32" i="15"/>
  <c r="O31" i="15"/>
  <c r="O30" i="15"/>
  <c r="O29" i="15"/>
  <c r="O28" i="15"/>
  <c r="O27" i="15"/>
  <c r="O26" i="15"/>
  <c r="O25" i="15"/>
  <c r="O24" i="15"/>
  <c r="O23" i="15"/>
  <c r="O22" i="15"/>
  <c r="O21" i="15"/>
  <c r="O17" i="15"/>
  <c r="O6" i="15"/>
  <c r="O7" i="15"/>
  <c r="O8" i="15"/>
  <c r="O9" i="15"/>
  <c r="O10" i="15"/>
  <c r="O11" i="15"/>
  <c r="O12" i="15"/>
  <c r="O13" i="15"/>
  <c r="O14" i="15"/>
  <c r="O5" i="15"/>
  <c r="U28" i="9"/>
  <c r="T28" i="9"/>
  <c r="U27" i="9"/>
  <c r="T27" i="9"/>
  <c r="U26" i="9"/>
  <c r="T26" i="9"/>
  <c r="U25" i="9"/>
  <c r="T25" i="9"/>
  <c r="U24" i="9"/>
  <c r="T24" i="9"/>
  <c r="W23" i="21" l="1"/>
  <c r="W20" i="18"/>
  <c r="C3" i="24"/>
  <c r="J3" i="24" s="1"/>
  <c r="U14" i="22"/>
  <c r="T14" i="22"/>
  <c r="U13" i="22"/>
  <c r="T13" i="22"/>
  <c r="U12" i="22"/>
  <c r="T12" i="22"/>
  <c r="U11" i="22"/>
  <c r="T11" i="22"/>
  <c r="U10" i="22"/>
  <c r="T10" i="22"/>
  <c r="U9" i="22"/>
  <c r="T9" i="22"/>
  <c r="U8" i="22"/>
  <c r="T8" i="22"/>
  <c r="U7" i="22"/>
  <c r="T7" i="22"/>
  <c r="U6" i="22"/>
  <c r="T6" i="22"/>
  <c r="U5" i="22"/>
  <c r="T5" i="22"/>
  <c r="U14" i="21"/>
  <c r="T14" i="21"/>
  <c r="U13" i="21"/>
  <c r="T13" i="21"/>
  <c r="U12" i="21"/>
  <c r="T12" i="21"/>
  <c r="U11" i="21"/>
  <c r="T11" i="21"/>
  <c r="U10" i="21"/>
  <c r="T10" i="21"/>
  <c r="U9" i="21"/>
  <c r="T9" i="21"/>
  <c r="U8" i="21"/>
  <c r="T8" i="21"/>
  <c r="U7" i="21"/>
  <c r="T7" i="21"/>
  <c r="U6" i="21"/>
  <c r="T6" i="21"/>
  <c r="U5" i="21"/>
  <c r="T5" i="21"/>
  <c r="U14" i="20"/>
  <c r="T14" i="20"/>
  <c r="U13" i="20"/>
  <c r="T13" i="20"/>
  <c r="U12" i="20"/>
  <c r="T12" i="20"/>
  <c r="U11" i="20"/>
  <c r="T11" i="20"/>
  <c r="U10" i="20"/>
  <c r="T10" i="20"/>
  <c r="U9" i="20"/>
  <c r="T9" i="20"/>
  <c r="U8" i="20"/>
  <c r="T8" i="20"/>
  <c r="U7" i="20"/>
  <c r="T7" i="20"/>
  <c r="U6" i="20"/>
  <c r="T6" i="20"/>
  <c r="U5" i="20"/>
  <c r="T5" i="20"/>
  <c r="U14" i="19"/>
  <c r="T14" i="19"/>
  <c r="U13" i="19"/>
  <c r="T13" i="19"/>
  <c r="U12" i="19"/>
  <c r="T12" i="19"/>
  <c r="U11" i="19"/>
  <c r="T11" i="19"/>
  <c r="U10" i="19"/>
  <c r="T10" i="19"/>
  <c r="U9" i="19"/>
  <c r="T9" i="19"/>
  <c r="U8" i="19"/>
  <c r="T8" i="19"/>
  <c r="U7" i="19"/>
  <c r="T7" i="19"/>
  <c r="U6" i="19"/>
  <c r="T6" i="19"/>
  <c r="U5" i="19"/>
  <c r="T5" i="19"/>
  <c r="U14" i="18"/>
  <c r="T14" i="18"/>
  <c r="U13" i="18"/>
  <c r="T13" i="18"/>
  <c r="U12" i="18"/>
  <c r="T12" i="18"/>
  <c r="U11" i="18"/>
  <c r="T11" i="18"/>
  <c r="U10" i="18"/>
  <c r="T10" i="18"/>
  <c r="U9" i="18"/>
  <c r="T9" i="18"/>
  <c r="U8" i="18"/>
  <c r="T8" i="18"/>
  <c r="U7" i="18"/>
  <c r="T7" i="18"/>
  <c r="U6" i="18"/>
  <c r="T6" i="18"/>
  <c r="U5" i="18"/>
  <c r="T5" i="18"/>
  <c r="U14" i="9"/>
  <c r="T14" i="9"/>
  <c r="U13" i="9"/>
  <c r="T13" i="9"/>
  <c r="U12" i="9"/>
  <c r="T12" i="9"/>
  <c r="U11" i="9"/>
  <c r="T11" i="9"/>
  <c r="U10" i="9"/>
  <c r="T10" i="9"/>
  <c r="U9" i="9"/>
  <c r="T9" i="9"/>
  <c r="U8" i="9"/>
  <c r="T8" i="9"/>
  <c r="U7" i="9"/>
  <c r="T7" i="9"/>
  <c r="U6" i="9"/>
  <c r="T6" i="9"/>
  <c r="U5" i="9"/>
  <c r="T5" i="9"/>
  <c r="U14" i="17"/>
  <c r="T14" i="17"/>
  <c r="U13" i="17"/>
  <c r="T13" i="17"/>
  <c r="U12" i="17"/>
  <c r="T12" i="17"/>
  <c r="U11" i="17"/>
  <c r="T11" i="17"/>
  <c r="U10" i="17"/>
  <c r="T10" i="17"/>
  <c r="U9" i="17"/>
  <c r="T9" i="17"/>
  <c r="U8" i="17"/>
  <c r="T8" i="17"/>
  <c r="U7" i="17"/>
  <c r="T7" i="17"/>
  <c r="U6" i="17"/>
  <c r="T6" i="17"/>
  <c r="U5" i="17"/>
  <c r="T5" i="17"/>
  <c r="U14" i="15"/>
  <c r="T14" i="15"/>
  <c r="U13" i="15"/>
  <c r="T13" i="15"/>
  <c r="U12" i="15"/>
  <c r="T12" i="15"/>
  <c r="U11" i="15"/>
  <c r="T11" i="15"/>
  <c r="U10" i="15"/>
  <c r="T10" i="15"/>
  <c r="U9" i="15"/>
  <c r="T9" i="15"/>
  <c r="U8" i="15"/>
  <c r="T8" i="15"/>
  <c r="U7" i="15"/>
  <c r="T7" i="15"/>
  <c r="U6" i="15"/>
  <c r="T6" i="15"/>
  <c r="U14" i="4"/>
  <c r="T14" i="4"/>
  <c r="U13" i="4"/>
  <c r="T13" i="4"/>
  <c r="U12" i="4"/>
  <c r="T12" i="4"/>
  <c r="U11" i="4"/>
  <c r="T11" i="4"/>
  <c r="U10" i="4"/>
  <c r="T10" i="4"/>
  <c r="U9" i="4"/>
  <c r="T9" i="4"/>
  <c r="U8" i="4"/>
  <c r="T8" i="4"/>
  <c r="U7" i="4"/>
  <c r="T7" i="4"/>
  <c r="U6" i="4"/>
  <c r="T6" i="4"/>
  <c r="U5" i="4"/>
  <c r="T5" i="4"/>
  <c r="T6" i="16"/>
  <c r="U6" i="16"/>
  <c r="T7" i="16"/>
  <c r="U7" i="16"/>
  <c r="T8" i="16"/>
  <c r="U8" i="16"/>
  <c r="T9" i="16"/>
  <c r="U9" i="16"/>
  <c r="T10" i="16"/>
  <c r="U10" i="16"/>
  <c r="T11" i="16"/>
  <c r="U11" i="16"/>
  <c r="T12" i="16"/>
  <c r="U12" i="16"/>
  <c r="T13" i="16"/>
  <c r="U13" i="16"/>
  <c r="T14" i="16"/>
  <c r="U14" i="16"/>
  <c r="U5" i="16"/>
  <c r="T5" i="16"/>
  <c r="W28" i="16"/>
  <c r="W27" i="22"/>
  <c r="W26" i="21"/>
  <c r="W30" i="20"/>
  <c r="W20" i="20"/>
  <c r="W21" i="18"/>
  <c r="W26" i="9"/>
  <c r="W22" i="17"/>
  <c r="W14" i="4" l="1"/>
  <c r="W23" i="4"/>
  <c r="W21" i="17"/>
  <c r="W25" i="16"/>
  <c r="W26" i="16"/>
  <c r="W14" i="21"/>
  <c r="W20" i="4"/>
  <c r="W23" i="20"/>
  <c r="W25" i="19"/>
  <c r="W14" i="20"/>
  <c r="W22" i="20"/>
  <c r="W14" i="22"/>
  <c r="W21" i="22"/>
  <c r="D6" i="24"/>
  <c r="H6" i="24"/>
  <c r="W27" i="16"/>
  <c r="W21" i="4"/>
  <c r="W22" i="18"/>
  <c r="W21" i="20"/>
  <c r="W26" i="19"/>
  <c r="H13" i="24"/>
  <c r="W22" i="21"/>
  <c r="W24" i="9"/>
  <c r="W23" i="22"/>
  <c r="W25" i="9"/>
  <c r="W27" i="19"/>
  <c r="W27" i="9"/>
  <c r="W24" i="16"/>
  <c r="W28" i="19"/>
  <c r="W20" i="22"/>
  <c r="W28" i="9"/>
  <c r="W14" i="17"/>
  <c r="W23" i="18"/>
  <c r="W20" i="21"/>
  <c r="W22" i="22"/>
  <c r="W24" i="19"/>
  <c r="W21" i="21"/>
  <c r="W20" i="17"/>
  <c r="W22" i="4"/>
  <c r="W23" i="17"/>
  <c r="W14" i="19"/>
  <c r="W30" i="19"/>
  <c r="W14" i="18"/>
  <c r="W14" i="9"/>
  <c r="W5" i="16"/>
  <c r="W8" i="16"/>
  <c r="W26" i="18"/>
  <c r="W35" i="19"/>
  <c r="W26" i="20"/>
  <c r="W31" i="22"/>
  <c r="W12" i="16"/>
  <c r="W11" i="16"/>
  <c r="W7" i="16"/>
  <c r="W14" i="16"/>
  <c r="W10" i="16"/>
  <c r="W6" i="16"/>
  <c r="W38" i="16"/>
  <c r="W13" i="16"/>
  <c r="W9" i="16"/>
  <c r="D14" i="24"/>
  <c r="H14" i="24"/>
  <c r="W26" i="22"/>
  <c r="W30" i="22"/>
  <c r="W7" i="22"/>
  <c r="W11" i="22"/>
  <c r="D13" i="24"/>
  <c r="W12" i="22"/>
  <c r="W24" i="22"/>
  <c r="W28" i="22"/>
  <c r="W32" i="22"/>
  <c r="W8" i="22"/>
  <c r="W5" i="22"/>
  <c r="W9" i="22"/>
  <c r="W13" i="22"/>
  <c r="W25" i="22"/>
  <c r="W29" i="22"/>
  <c r="W33" i="22"/>
  <c r="W6" i="22"/>
  <c r="W10" i="22"/>
  <c r="W30" i="21"/>
  <c r="W7" i="21"/>
  <c r="W11" i="21"/>
  <c r="D12" i="24"/>
  <c r="H12" i="24"/>
  <c r="W27" i="21"/>
  <c r="W31" i="21"/>
  <c r="W8" i="21"/>
  <c r="W12" i="21"/>
  <c r="W24" i="21"/>
  <c r="W28" i="21"/>
  <c r="W32" i="21"/>
  <c r="W5" i="21"/>
  <c r="W9" i="21"/>
  <c r="W13" i="21"/>
  <c r="W25" i="21"/>
  <c r="W29" i="21"/>
  <c r="W33" i="21"/>
  <c r="W6" i="21"/>
  <c r="W10" i="21"/>
  <c r="H11" i="24"/>
  <c r="W27" i="20"/>
  <c r="W31" i="20"/>
  <c r="W8" i="20"/>
  <c r="W12" i="20"/>
  <c r="W24" i="20"/>
  <c r="W28" i="20"/>
  <c r="W32" i="20"/>
  <c r="D11" i="24"/>
  <c r="W5" i="20"/>
  <c r="W9" i="20"/>
  <c r="W13" i="20"/>
  <c r="W11" i="20"/>
  <c r="W25" i="20"/>
  <c r="W29" i="20"/>
  <c r="W33" i="20"/>
  <c r="W7" i="20"/>
  <c r="W6" i="20"/>
  <c r="W10" i="20"/>
  <c r="W7" i="19"/>
  <c r="W11" i="19"/>
  <c r="D10" i="24"/>
  <c r="H10" i="24"/>
  <c r="W32" i="19"/>
  <c r="W36" i="19"/>
  <c r="W8" i="19"/>
  <c r="W12" i="19"/>
  <c r="W33" i="19"/>
  <c r="W37" i="19"/>
  <c r="W5" i="19"/>
  <c r="W9" i="19"/>
  <c r="W13" i="19"/>
  <c r="W29" i="19"/>
  <c r="W34" i="19"/>
  <c r="W38" i="19"/>
  <c r="W6" i="19"/>
  <c r="W10" i="19"/>
  <c r="W30" i="18"/>
  <c r="W7" i="18"/>
  <c r="W11" i="18"/>
  <c r="D9" i="24"/>
  <c r="H9" i="24"/>
  <c r="W27" i="18"/>
  <c r="W31" i="18"/>
  <c r="W8" i="18"/>
  <c r="W12" i="18"/>
  <c r="W24" i="18"/>
  <c r="W28" i="18"/>
  <c r="W32" i="18"/>
  <c r="W5" i="18"/>
  <c r="W9" i="18"/>
  <c r="W13" i="18"/>
  <c r="W25" i="18"/>
  <c r="W29" i="18"/>
  <c r="W33" i="18"/>
  <c r="W6" i="18"/>
  <c r="W10" i="18"/>
  <c r="W7" i="9"/>
  <c r="W11" i="9"/>
  <c r="D8" i="24"/>
  <c r="H8" i="24"/>
  <c r="W8" i="9"/>
  <c r="W12" i="9"/>
  <c r="W5" i="9"/>
  <c r="W9" i="9"/>
  <c r="W13" i="9"/>
  <c r="W38" i="9"/>
  <c r="W6" i="9"/>
  <c r="W10" i="9"/>
  <c r="W7" i="17"/>
  <c r="D7" i="24"/>
  <c r="W31" i="17"/>
  <c r="W24" i="17"/>
  <c r="W28" i="17"/>
  <c r="W32" i="17"/>
  <c r="W11" i="17"/>
  <c r="H7" i="24"/>
  <c r="W8" i="17"/>
  <c r="W5" i="17"/>
  <c r="W9" i="17"/>
  <c r="W13" i="17"/>
  <c r="W26" i="17"/>
  <c r="W27" i="17"/>
  <c r="W25" i="17"/>
  <c r="W29" i="17"/>
  <c r="W33" i="17"/>
  <c r="W30" i="17"/>
  <c r="W12" i="17"/>
  <c r="W6" i="17"/>
  <c r="W10" i="17"/>
  <c r="W30" i="4"/>
  <c r="W7" i="4"/>
  <c r="W11" i="4"/>
  <c r="P17" i="4"/>
  <c r="D5" i="24" s="1"/>
  <c r="W26" i="4"/>
  <c r="H5" i="24"/>
  <c r="W27" i="4"/>
  <c r="W31" i="4"/>
  <c r="W8" i="4"/>
  <c r="W12" i="4"/>
  <c r="W24" i="4"/>
  <c r="W28" i="4"/>
  <c r="W32" i="4"/>
  <c r="W5" i="4"/>
  <c r="W9" i="4"/>
  <c r="W13" i="4"/>
  <c r="W25" i="4"/>
  <c r="W29" i="4"/>
  <c r="W33" i="4"/>
  <c r="W6" i="4"/>
  <c r="W10" i="4"/>
  <c r="W40" i="16" l="1"/>
  <c r="F6" i="24" s="1"/>
  <c r="F14" i="24"/>
  <c r="W35" i="22"/>
  <c r="F13" i="24" s="1"/>
  <c r="W35" i="21"/>
  <c r="F12" i="24" s="1"/>
  <c r="W35" i="20"/>
  <c r="F11" i="24" s="1"/>
  <c r="W40" i="19"/>
  <c r="F10" i="24" s="1"/>
  <c r="W35" i="18"/>
  <c r="F9" i="24" s="1"/>
  <c r="W40" i="9"/>
  <c r="F8" i="24" s="1"/>
  <c r="W35" i="17"/>
  <c r="F7" i="24" s="1"/>
  <c r="W35" i="4"/>
  <c r="F5" i="24" s="1"/>
  <c r="C18" i="28" l="1"/>
  <c r="C19" i="28"/>
  <c r="W31" i="15" l="1"/>
  <c r="W29" i="15"/>
  <c r="W32" i="15"/>
  <c r="W33" i="15"/>
  <c r="W30" i="15"/>
  <c r="D4" i="24"/>
  <c r="W9" i="15"/>
  <c r="W8" i="15"/>
  <c r="W10" i="15"/>
  <c r="W11" i="15"/>
  <c r="W24" i="15"/>
  <c r="W12" i="15"/>
  <c r="W25" i="15"/>
  <c r="W5" i="15"/>
  <c r="W13" i="15"/>
  <c r="W26" i="15"/>
  <c r="W6" i="15"/>
  <c r="W14" i="15"/>
  <c r="W27" i="15"/>
  <c r="W7" i="15"/>
  <c r="W28" i="15"/>
  <c r="W35" i="15" l="1"/>
  <c r="F4" i="24" s="1"/>
  <c r="G4" i="25"/>
  <c r="H4" i="25" s="1"/>
  <c r="I4" i="25" s="1"/>
  <c r="J4" i="25" s="1"/>
  <c r="K4" i="25" s="1"/>
  <c r="L4" i="25" s="1"/>
  <c r="M4" i="25" s="1"/>
  <c r="N4" i="25" s="1"/>
  <c r="O4" i="25" s="1"/>
  <c r="P4" i="25" s="1"/>
  <c r="Q4" i="25" s="1"/>
  <c r="R4" i="25" s="1"/>
  <c r="S4" i="25" s="1"/>
  <c r="T4" i="25" s="1"/>
  <c r="U4" i="25" s="1"/>
  <c r="V4" i="25" s="1"/>
  <c r="W4" i="25" s="1"/>
  <c r="X4" i="25" s="1"/>
  <c r="Y4" i="25" s="1"/>
  <c r="Z4" i="25" s="1"/>
  <c r="AA4" i="25" s="1"/>
  <c r="AB4" i="25" s="1"/>
  <c r="AC4" i="25" s="1"/>
  <c r="AD4" i="25" s="1"/>
  <c r="AE4" i="25" s="1"/>
  <c r="AF4" i="25" s="1"/>
  <c r="G15" i="25"/>
  <c r="H15" i="25" s="1"/>
  <c r="I15" i="25" s="1"/>
  <c r="J15" i="25" s="1"/>
  <c r="K15" i="25" s="1"/>
  <c r="L15" i="25" s="1"/>
  <c r="M15" i="25" s="1"/>
  <c r="N15" i="25" s="1"/>
  <c r="O15" i="25" s="1"/>
  <c r="P15" i="25" s="1"/>
  <c r="Q15" i="25" s="1"/>
  <c r="R15" i="25" s="1"/>
  <c r="S15" i="25" s="1"/>
  <c r="T15" i="25" s="1"/>
  <c r="U15" i="25" s="1"/>
  <c r="V15" i="25" s="1"/>
  <c r="W15" i="25" s="1"/>
  <c r="X15" i="25" s="1"/>
  <c r="Y15" i="25" s="1"/>
  <c r="Z15" i="25" s="1"/>
  <c r="AA15" i="25" s="1"/>
  <c r="AB15" i="25" s="1"/>
  <c r="AC15" i="25" s="1"/>
  <c r="AD15" i="25" s="1"/>
  <c r="AE15" i="25" s="1"/>
  <c r="AF15" i="25" s="1"/>
  <c r="B3" i="24" l="1"/>
  <c r="J16" i="24"/>
  <c r="E13" i="24" l="1"/>
  <c r="I14" i="24"/>
  <c r="I13" i="24" l="1"/>
  <c r="I12" i="24" s="1"/>
  <c r="I11" i="24" s="1"/>
  <c r="I10" i="24" s="1"/>
  <c r="I9" i="24" s="1"/>
  <c r="E12" i="24"/>
  <c r="H4" i="24"/>
  <c r="E11" i="24" l="1"/>
  <c r="E10" i="24" s="1"/>
  <c r="E9" i="24" s="1"/>
  <c r="E8" i="24" s="1"/>
  <c r="E7" i="24" s="1"/>
  <c r="E6" i="24" l="1"/>
  <c r="G7" i="24"/>
  <c r="I8" i="24"/>
  <c r="I7" i="24" l="1"/>
  <c r="I6" i="24" s="1"/>
  <c r="I5" i="24" s="1"/>
  <c r="I4" i="24" s="1"/>
  <c r="I3" i="24" s="1"/>
  <c r="E5" i="24"/>
  <c r="E4" i="24" s="1"/>
  <c r="G6" i="24"/>
  <c r="D15" i="24"/>
  <c r="C20" i="28" s="1"/>
  <c r="C17" i="28" s="1"/>
  <c r="G3" i="24" s="1"/>
  <c r="C45" i="7"/>
  <c r="C39" i="7"/>
  <c r="I38" i="7"/>
  <c r="H33" i="7"/>
  <c r="I33" i="7" s="1"/>
  <c r="G33" i="7"/>
  <c r="G38" i="7" s="1"/>
  <c r="F33" i="7"/>
  <c r="F38" i="7" s="1"/>
  <c r="E33" i="7"/>
  <c r="E38" i="7" s="1"/>
  <c r="D33" i="7"/>
  <c r="D36" i="7" s="1"/>
  <c r="F34" i="7" s="1"/>
  <c r="F27" i="7"/>
  <c r="D27" i="7"/>
  <c r="H26" i="7"/>
  <c r="F28" i="7" s="1"/>
  <c r="C26" i="7"/>
  <c r="H25" i="7"/>
  <c r="E28" i="7" s="1"/>
  <c r="D25" i="7"/>
  <c r="E24" i="7" s="1"/>
  <c r="H24" i="7"/>
  <c r="D28" i="7" s="1"/>
  <c r="C24" i="7"/>
  <c r="C28" i="7"/>
  <c r="E23" i="7"/>
  <c r="G18" i="7"/>
  <c r="F17" i="7"/>
  <c r="F18" i="7" s="1"/>
  <c r="E17" i="7"/>
  <c r="E18" i="7" s="1"/>
  <c r="D17" i="7"/>
  <c r="D18" i="7" s="1"/>
  <c r="C17" i="7"/>
  <c r="C18" i="7" s="1"/>
  <c r="H16" i="7"/>
  <c r="H15" i="7"/>
  <c r="D15" i="7"/>
  <c r="H14" i="7"/>
  <c r="H13" i="7"/>
  <c r="F13" i="7"/>
  <c r="C16" i="7" s="1"/>
  <c r="E13" i="7"/>
  <c r="C15" i="7" s="1"/>
  <c r="E8" i="7"/>
  <c r="G7" i="7"/>
  <c r="E7" i="7"/>
  <c r="C7" i="7"/>
  <c r="F6" i="7"/>
  <c r="D6" i="7"/>
  <c r="C6" i="7"/>
  <c r="G5" i="7"/>
  <c r="E5" i="7"/>
  <c r="C5" i="7"/>
  <c r="E4" i="7"/>
  <c r="J7" i="24" l="1"/>
  <c r="J6" i="24"/>
  <c r="G5" i="24"/>
  <c r="J5" i="24" s="1"/>
  <c r="E26" i="7"/>
  <c r="F25" i="7" s="1"/>
  <c r="E37" i="7"/>
  <c r="G35" i="7" s="1"/>
  <c r="H35" i="7"/>
  <c r="I35" i="7" s="1"/>
  <c r="E39" i="7"/>
  <c r="E16" i="7"/>
  <c r="D16" i="7"/>
  <c r="H36" i="7"/>
  <c r="I36" i="7" s="1"/>
  <c r="F39" i="7"/>
  <c r="H37" i="7"/>
  <c r="I37" i="7" s="1"/>
  <c r="G39" i="7"/>
  <c r="D26" i="7"/>
  <c r="F24" i="7" s="1"/>
  <c r="E36" i="7"/>
  <c r="F35" i="7" s="1"/>
  <c r="D37" i="7"/>
  <c r="G34" i="7" s="1"/>
  <c r="E27" i="7"/>
  <c r="D38" i="7"/>
  <c r="D35" i="7"/>
  <c r="E34" i="7" s="1"/>
  <c r="F37" i="7"/>
  <c r="G36" i="7" s="1"/>
  <c r="G4" i="24" l="1"/>
  <c r="J4" i="24" s="1"/>
  <c r="D39" i="7"/>
  <c r="H34" i="7"/>
  <c r="I34" i="7" s="1"/>
  <c r="G11" i="24" l="1"/>
  <c r="J11" i="24" s="1"/>
  <c r="G12" i="24"/>
  <c r="J12" i="24" s="1"/>
  <c r="G9" i="24"/>
  <c r="J9" i="24" s="1"/>
  <c r="G14" i="24"/>
  <c r="J14" i="24" s="1"/>
  <c r="G10" i="24"/>
  <c r="J10" i="24" s="1"/>
  <c r="G13" i="24"/>
  <c r="J13" i="24" s="1"/>
  <c r="G8" i="24" l="1"/>
  <c r="J15" i="24" l="1"/>
  <c r="J8"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 Taylor</author>
  </authors>
  <commentList>
    <comment ref="B3" authorId="0" shapeId="0" xr:uid="{00000000-0006-0000-0200-000001000000}">
      <text>
        <r>
          <rPr>
            <b/>
            <sz val="9"/>
            <color indexed="81"/>
            <rFont val="Tahoma"/>
            <family val="2"/>
          </rPr>
          <t>AFF:</t>
        </r>
        <r>
          <rPr>
            <sz val="9"/>
            <color indexed="81"/>
            <rFont val="Tahoma"/>
            <family val="2"/>
          </rPr>
          <t xml:space="preserve">
multiply by the factor to get "From" "To"</t>
        </r>
      </text>
    </comment>
    <comment ref="B4" authorId="0" shapeId="0" xr:uid="{00000000-0006-0000-0200-000002000000}">
      <text>
        <r>
          <rPr>
            <b/>
            <sz val="9"/>
            <color indexed="81"/>
            <rFont val="Tahoma"/>
            <family val="2"/>
          </rPr>
          <t>AFF:</t>
        </r>
        <r>
          <rPr>
            <sz val="9"/>
            <color indexed="81"/>
            <rFont val="Tahoma"/>
            <family val="2"/>
          </rPr>
          <t xml:space="preserve">
1 Joule is the energy required to move 1 kg of mass through a distance of 1 meter with speed in meters per second increasing at the rate of 1 meter per second.</t>
        </r>
      </text>
    </comment>
    <comment ref="B7" authorId="0" shapeId="0" xr:uid="{00000000-0006-0000-0200-000003000000}">
      <text>
        <r>
          <rPr>
            <b/>
            <sz val="9"/>
            <color indexed="81"/>
            <rFont val="Tahoma"/>
            <family val="2"/>
          </rPr>
          <t>AFF:</t>
        </r>
        <r>
          <rPr>
            <sz val="9"/>
            <color indexed="81"/>
            <rFont val="Tahoma"/>
            <family val="2"/>
          </rPr>
          <t xml:space="preserve">
1 Btu or British thermal unit is the energy required to raise the temperature of a pound of water from 60 to 61 degrees Fahernheit. 1 Therm = 100,000 Btu</t>
        </r>
      </text>
    </comment>
    <comment ref="B12" authorId="0" shapeId="0" xr:uid="{00000000-0006-0000-0200-000005000000}">
      <text>
        <r>
          <rPr>
            <b/>
            <sz val="9"/>
            <color indexed="81"/>
            <rFont val="Tahoma"/>
            <family val="2"/>
          </rPr>
          <t>AFF:</t>
        </r>
        <r>
          <rPr>
            <sz val="9"/>
            <color indexed="81"/>
            <rFont val="Tahoma"/>
            <family val="2"/>
          </rPr>
          <t xml:space="preserve">
multiply by the factor to get "From" "To"</t>
        </r>
      </text>
    </comment>
    <comment ref="B22" authorId="0" shapeId="0" xr:uid="{A476FCD3-ACA8-4AE1-89FB-AF60374A0ABD}">
      <text>
        <r>
          <rPr>
            <b/>
            <sz val="9"/>
            <color indexed="81"/>
            <rFont val="Tahoma"/>
            <family val="2"/>
          </rPr>
          <t>AFF:</t>
        </r>
        <r>
          <rPr>
            <sz val="9"/>
            <color indexed="81"/>
            <rFont val="Tahoma"/>
            <family val="2"/>
          </rPr>
          <t xml:space="preserve">
multiply by the factor to get "From" "To"</t>
        </r>
      </text>
    </comment>
    <comment ref="B32" authorId="0" shapeId="0" xr:uid="{8F02DF6C-20BC-4E40-BFFA-F34C5F7E965A}">
      <text>
        <r>
          <rPr>
            <b/>
            <sz val="9"/>
            <color indexed="81"/>
            <rFont val="Tahoma"/>
            <family val="2"/>
          </rPr>
          <t>AFF:</t>
        </r>
        <r>
          <rPr>
            <sz val="9"/>
            <color indexed="81"/>
            <rFont val="Tahoma"/>
            <family val="2"/>
          </rPr>
          <t xml:space="preserve">
multiply by the factor to get "From" "To"</t>
        </r>
      </text>
    </comment>
    <comment ref="B43" authorId="0" shapeId="0" xr:uid="{FE66D394-F1E1-478E-9229-15569356A8B4}">
      <text>
        <r>
          <rPr>
            <b/>
            <sz val="9"/>
            <color indexed="81"/>
            <rFont val="Tahoma"/>
            <family val="2"/>
          </rPr>
          <t>AFF:</t>
        </r>
        <r>
          <rPr>
            <sz val="9"/>
            <color indexed="81"/>
            <rFont val="Tahoma"/>
            <family val="2"/>
          </rPr>
          <t xml:space="preserve">
multiply by the factor to get "From" "To"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5C5FD3F8-2331-4032-80CC-805931E1199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A0D56710-E791-4410-871C-FB2B1D3F8BA6}">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E800499D-36E1-4AC0-B5C0-B0EF9F541344}">
      <text>
        <r>
          <rPr>
            <sz val="9"/>
            <color indexed="81"/>
            <rFont val="Tahoma"/>
            <family val="2"/>
          </rPr>
          <t>will be 0 for some inputs or outputs,  e.g. some chemicals will not have an LHV, or e.g. water</t>
        </r>
      </text>
    </comment>
    <comment ref="N2" authorId="2" shapeId="0" xr:uid="{8AB226E4-15DE-43FA-98C4-E62FC0C323C8}">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77CECEFF-6F77-48FF-9B8E-8A79EA4D076D}">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35602F84-5E03-40A9-B06F-DC1DBB083AEA}">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6CDB8031-97E0-447C-8DFE-D2C649F976A8}">
      <text>
        <r>
          <rPr>
            <sz val="9"/>
            <color indexed="81"/>
            <rFont val="Tahoma"/>
            <family val="2"/>
          </rPr>
          <t>will be 0 for some inputs or outputs,  e.g. some chemicals will not have an LHV, or e.g. water</t>
        </r>
      </text>
    </comment>
    <comment ref="N2" authorId="2" shapeId="0" xr:uid="{4811D489-B818-480E-BA19-9D3E51AD85F2}">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46C04F79-A7A5-4F67-B0A4-AC5CEEE56A9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475FCA8E-9A81-4524-BC89-1FBA78B6A842}">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620C61B3-CC62-4D30-843D-4F29DD3BC25A}">
      <text>
        <r>
          <rPr>
            <sz val="9"/>
            <color indexed="81"/>
            <rFont val="Tahoma"/>
            <family val="2"/>
          </rPr>
          <t>will be 0 for some inputs or outputs,  e.g. some chemicals will not have an LHV, or e.g. water</t>
        </r>
      </text>
    </comment>
    <comment ref="N2" authorId="2" shapeId="0" xr:uid="{7CB2872E-FC08-4533-9264-787DBD2B8F4B}">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00000000-0006-0000-0700-000001000000}">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00000000-0006-0000-0700-000002000000}">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00000000-0006-0000-0700-000003000000}">
      <text>
        <r>
          <rPr>
            <sz val="9"/>
            <color indexed="81"/>
            <rFont val="Tahoma"/>
            <family val="2"/>
          </rPr>
          <t>will be 0 for some inputs or outputs,  e.g. some chemicals will not have an LHV, or e.g. water</t>
        </r>
      </text>
    </comment>
    <comment ref="N2" authorId="2" shapeId="0" xr:uid="{63B4014E-B842-42ED-A997-5D8FB5A352C4}">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98C38FCC-E5B0-4032-A426-B04C5413E876}">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A0DCE731-86A8-4A10-8577-6308CDD67286}">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96AA5676-F606-404F-9796-EF340D1E3A9E}">
      <text>
        <r>
          <rPr>
            <sz val="9"/>
            <color indexed="81"/>
            <rFont val="Tahoma"/>
            <family val="2"/>
          </rPr>
          <t>will be 0 for some inputs or outputs,  e.g. some chemicals will not have an LHV, or e.g. water</t>
        </r>
      </text>
    </comment>
    <comment ref="N2" authorId="2" shapeId="0" xr:uid="{7AD193F4-E089-48A6-8F81-749AA9792FB9}">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577B611B-3A26-4DCA-93D0-AB69A6F27A03}">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4DADAD41-FCD2-4C88-8F49-AA65BB70ECCC}">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B0694605-9703-4E37-8C49-E9FA972F9D5E}">
      <text>
        <r>
          <rPr>
            <sz val="9"/>
            <color indexed="81"/>
            <rFont val="Tahoma"/>
            <family val="2"/>
          </rPr>
          <t>will be 0 for some inputs or outputs,  e.g. some chemicals will not have an LHV, or e.g. water</t>
        </r>
      </text>
    </comment>
    <comment ref="N2" authorId="2" shapeId="0" xr:uid="{9DDB46DC-F9BD-41A8-A054-6733777157F1}">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 ref="N22" authorId="2" shapeId="0" xr:uid="{0DAB6AA4-38F9-49DE-80D9-0D312E9BE2F3}">
      <text>
        <r>
          <rPr>
            <sz val="9"/>
            <color indexed="81"/>
            <rFont val="Tahoma"/>
            <family val="2"/>
          </rPr>
          <t>If the excess heat is exported for heating of buildings, at a temperature below 150°C, provide the value of 150°C here.</t>
        </r>
      </text>
    </comment>
    <comment ref="N23" authorId="2" shapeId="0" xr:uid="{A27003BA-AEAE-4A3F-B98B-6F26B65FC227}">
      <text>
        <r>
          <rPr>
            <sz val="9"/>
            <color indexed="81"/>
            <rFont val="Tahoma"/>
            <family val="2"/>
          </rPr>
          <t>If the excess heat is exported for heating of buildings, at a temperature below 150°C, provide the value of 150°C here.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D084BF53-2991-4192-A488-84B41A796AF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1D155759-A9CD-48F7-98F9-23D072DAB77C}">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427D1A2E-A316-4208-92CB-0452B43CC868}">
      <text>
        <r>
          <rPr>
            <sz val="9"/>
            <color indexed="81"/>
            <rFont val="Tahoma"/>
            <family val="2"/>
          </rPr>
          <t>will be 0 for some inputs or outputs,  e.g. some chemicals will not have an LHV, or e.g. water</t>
        </r>
      </text>
    </comment>
    <comment ref="N2" authorId="2" shapeId="0" xr:uid="{3F17BF99-C6C6-46A8-AB49-025AB7C807B9}">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5167259C-4D7F-47F9-B66C-AB6BE8574AD6}">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EE26187E-F980-4E73-A82E-936AFB081B23}">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36C2FBBA-AFF9-46B9-8022-0F622FE7A7E4}">
      <text>
        <r>
          <rPr>
            <sz val="9"/>
            <color indexed="81"/>
            <rFont val="Tahoma"/>
            <family val="2"/>
          </rPr>
          <t>will be 0 for some inputs or outputs,  e.g. some chemicals will not have an LHV, or e.g. water</t>
        </r>
      </text>
    </comment>
    <comment ref="N2" authorId="2" shapeId="0" xr:uid="{927E4D56-6451-48D0-961B-D26152CD75F5}">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 ref="N22" authorId="2" shapeId="0" xr:uid="{8DB8C02F-D630-45DF-8B6B-B9AECBCF3BAB}">
      <text>
        <r>
          <rPr>
            <sz val="9"/>
            <color indexed="81"/>
            <rFont val="Tahoma"/>
            <family val="2"/>
          </rPr>
          <t>If the excess heat is exported for heating of buildings, at a temperature below 150°C, provide the value of 150°C here.</t>
        </r>
      </text>
    </comment>
    <comment ref="N23" authorId="2" shapeId="0" xr:uid="{58B1B8C3-6F5C-42B9-8C6B-A60FE9035F7C}">
      <text>
        <r>
          <rPr>
            <sz val="9"/>
            <color indexed="81"/>
            <rFont val="Tahoma"/>
            <family val="2"/>
          </rPr>
          <t>If the excess heat is exported for heating of buildings, at a temperature below 150°C, provide the value of 150°C here.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4F5FCEF5-A5BA-4227-A2A4-63EC87D0E696}">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3C2B92EE-ECF8-4153-8D84-442DC00C03DF}">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602D1180-B95B-4A3E-9651-F827EE0312DF}">
      <text>
        <r>
          <rPr>
            <sz val="9"/>
            <color indexed="81"/>
            <rFont val="Tahoma"/>
            <family val="2"/>
          </rPr>
          <t>will be 0 for some inputs or outputs,  e.g. some chemicals will not have an LHV, or e.g. water</t>
        </r>
      </text>
    </comment>
    <comment ref="N2" authorId="2" shapeId="0" xr:uid="{FC22AA8A-F930-4FE7-9E8A-91B4060F1754}">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0649CE82-714C-4F7D-A656-8416140DAD4F}">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FFCF4C97-3B53-4027-882F-1C15C3E0D379}">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7C906AB7-78B8-44C0-AA9A-A7AFA473EC9E}">
      <text>
        <r>
          <rPr>
            <sz val="9"/>
            <color indexed="81"/>
            <rFont val="Tahoma"/>
            <family val="2"/>
          </rPr>
          <t>will be 0 for some inputs or outputs,  e.g. some chemicals will not have an LHV, or e.g. water</t>
        </r>
      </text>
    </comment>
    <comment ref="N2" authorId="2" shapeId="0" xr:uid="{0E8B4AF1-651E-47DE-B2AD-DA8DCFBC87A5}">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 ref="N22" authorId="2" shapeId="0" xr:uid="{E38A84A2-14DB-42BD-92CE-A5840368BEA8}">
      <text>
        <r>
          <rPr>
            <sz val="9"/>
            <color indexed="81"/>
            <rFont val="Tahoma"/>
            <family val="2"/>
          </rPr>
          <t>If the excess heat is exported for heating of buildings, at a temperature below 150°C, provide the value of 150°C here.</t>
        </r>
      </text>
    </comment>
    <comment ref="N23" authorId="2" shapeId="0" xr:uid="{609CD0F4-8746-44F9-9E59-8022A4EE8710}">
      <text>
        <r>
          <rPr>
            <sz val="9"/>
            <color indexed="81"/>
            <rFont val="Tahoma"/>
            <family val="2"/>
          </rPr>
          <t>If the excess heat is exported for heating of buildings, at a temperature below 150°C, provide the value of 150°C here.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F15A4441-99A3-4917-8074-BA8BF83D3626}">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8D19E02C-177A-4F1C-91EF-F119585BC075}">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000FB17D-B6F1-4036-9813-5FD7A8D229C7}">
      <text>
        <r>
          <rPr>
            <sz val="9"/>
            <color indexed="81"/>
            <rFont val="Tahoma"/>
            <family val="2"/>
          </rPr>
          <t>will be 0 for some inputs or outputs,  e.g. some chemicals will not have an LHV, or e.g. water</t>
        </r>
      </text>
    </comment>
    <comment ref="N2" authorId="2" shapeId="0" xr:uid="{F7BE8DB9-1D9B-4A70-A401-7A70F577ABAF}">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sharedStrings.xml><?xml version="1.0" encoding="utf-8"?>
<sst xmlns="http://schemas.openxmlformats.org/spreadsheetml/2006/main" count="1615" uniqueCount="390">
  <si>
    <t>Contact details</t>
  </si>
  <si>
    <t>Please include "GHG Template Question" + the project name in the subject line of emails with questions regarding this template</t>
  </si>
  <si>
    <t>Sheet filled by bidder name</t>
  </si>
  <si>
    <t>Bidder email address</t>
  </si>
  <si>
    <t>Legend</t>
  </si>
  <si>
    <t>Cells require data input</t>
  </si>
  <si>
    <t>Calculation cells</t>
  </si>
  <si>
    <t>Cell does not require data input and is not a calculation</t>
  </si>
  <si>
    <t>Units</t>
  </si>
  <si>
    <t>Assumptions</t>
  </si>
  <si>
    <t>System boundary</t>
  </si>
  <si>
    <t>Summary</t>
  </si>
  <si>
    <t>Feedstock collection</t>
  </si>
  <si>
    <t>Feedstock transport</t>
  </si>
  <si>
    <t>Pre-processing</t>
  </si>
  <si>
    <t>Intermediate transport</t>
  </si>
  <si>
    <t>Conversion</t>
  </si>
  <si>
    <t>Further transport</t>
  </si>
  <si>
    <t>Fuel distribution 1</t>
  </si>
  <si>
    <t>Fuel storage</t>
  </si>
  <si>
    <t>Fuel distribution 2</t>
  </si>
  <si>
    <t>Energy conversion factors</t>
  </si>
  <si>
    <t>From                                         To</t>
  </si>
  <si>
    <t>TJ</t>
  </si>
  <si>
    <t>Gcal</t>
  </si>
  <si>
    <t>Mtoe</t>
  </si>
  <si>
    <t>Mbtu</t>
  </si>
  <si>
    <t>GWh</t>
  </si>
  <si>
    <t>Terajoule (TJ)</t>
  </si>
  <si>
    <t>GigaCalorie (Gcal)</t>
  </si>
  <si>
    <t>million tonne of oil equivalent (Mtoe)</t>
  </si>
  <si>
    <t>million British thermal unit (Mbtu)</t>
  </si>
  <si>
    <t>GigaWatt hour (GWh)</t>
  </si>
  <si>
    <t>Mass conversion factors</t>
  </si>
  <si>
    <t>kg</t>
  </si>
  <si>
    <t>te</t>
  </si>
  <si>
    <t>lt</t>
  </si>
  <si>
    <t>st</t>
  </si>
  <si>
    <t>lb</t>
  </si>
  <si>
    <t>oz</t>
  </si>
  <si>
    <t>kilogramme (kg)</t>
  </si>
  <si>
    <t>tonne (te)</t>
  </si>
  <si>
    <t>long ton (lt)</t>
  </si>
  <si>
    <t>short ton (st)</t>
  </si>
  <si>
    <t>pound (lb)</t>
  </si>
  <si>
    <t>ounce (oz)</t>
  </si>
  <si>
    <t>Volume conversion factors</t>
  </si>
  <si>
    <t>gal US</t>
  </si>
  <si>
    <t>gal UK</t>
  </si>
  <si>
    <t>bbl</t>
  </si>
  <si>
    <t>ft3</t>
  </si>
  <si>
    <t>l</t>
  </si>
  <si>
    <t>m3</t>
  </si>
  <si>
    <t>US gallon (gal)</t>
  </si>
  <si>
    <t>UK gallon (gal)</t>
  </si>
  <si>
    <t>barrel (bbl)</t>
  </si>
  <si>
    <t>litre (l)</t>
  </si>
  <si>
    <t>cubic metre (m3)</t>
  </si>
  <si>
    <t>Length conversion factors</t>
  </si>
  <si>
    <t>in</t>
  </si>
  <si>
    <t>ft</t>
  </si>
  <si>
    <t>yd</t>
  </si>
  <si>
    <t>mi</t>
  </si>
  <si>
    <t>nmi</t>
  </si>
  <si>
    <t>m</t>
  </si>
  <si>
    <t>km</t>
  </si>
  <si>
    <t>inch (in)</t>
  </si>
  <si>
    <t>foot (ft)</t>
  </si>
  <si>
    <t>yard (yd)</t>
  </si>
  <si>
    <t>mile (mi)</t>
  </si>
  <si>
    <t>nautical mile (nmi)</t>
  </si>
  <si>
    <t>metre (m)</t>
  </si>
  <si>
    <t>kilometre (km)</t>
  </si>
  <si>
    <t>Power conversion factors</t>
  </si>
  <si>
    <t>HP</t>
  </si>
  <si>
    <t>kW</t>
  </si>
  <si>
    <t>horsepower (HP) - mechanic</t>
  </si>
  <si>
    <t>kilowatts (kW)</t>
  </si>
  <si>
    <t>Metric Prefixes</t>
  </si>
  <si>
    <t>10^x</t>
  </si>
  <si>
    <t>Prefix</t>
  </si>
  <si>
    <t>Symbol</t>
  </si>
  <si>
    <t>10^24</t>
  </si>
  <si>
    <t>yotta</t>
  </si>
  <si>
    <t>Y</t>
  </si>
  <si>
    <t>10^21</t>
  </si>
  <si>
    <t>zetta</t>
  </si>
  <si>
    <t>Z</t>
  </si>
  <si>
    <t>10^18</t>
  </si>
  <si>
    <t>exa</t>
  </si>
  <si>
    <t>E</t>
  </si>
  <si>
    <t>10^15</t>
  </si>
  <si>
    <t>peta</t>
  </si>
  <si>
    <t>P</t>
  </si>
  <si>
    <t>10^12</t>
  </si>
  <si>
    <t>tera</t>
  </si>
  <si>
    <t>T</t>
  </si>
  <si>
    <t>10^9</t>
  </si>
  <si>
    <t>giga</t>
  </si>
  <si>
    <t>G</t>
  </si>
  <si>
    <t>10^6</t>
  </si>
  <si>
    <t>mega</t>
  </si>
  <si>
    <t>M</t>
  </si>
  <si>
    <t>10^3</t>
  </si>
  <si>
    <t>kilo</t>
  </si>
  <si>
    <t>k</t>
  </si>
  <si>
    <t>10^2</t>
  </si>
  <si>
    <t>hecto</t>
  </si>
  <si>
    <t>h</t>
  </si>
  <si>
    <t>10^1</t>
  </si>
  <si>
    <t>deka</t>
  </si>
  <si>
    <t>da</t>
  </si>
  <si>
    <t>10^-1</t>
  </si>
  <si>
    <t>deci</t>
  </si>
  <si>
    <t>d</t>
  </si>
  <si>
    <t>10^-2</t>
  </si>
  <si>
    <t>centi</t>
  </si>
  <si>
    <t>c</t>
  </si>
  <si>
    <t>10^-3</t>
  </si>
  <si>
    <t>milli</t>
  </si>
  <si>
    <t>10^-6</t>
  </si>
  <si>
    <t>micro</t>
  </si>
  <si>
    <t>10^-9</t>
  </si>
  <si>
    <t>nano</t>
  </si>
  <si>
    <t>n</t>
  </si>
  <si>
    <t>10^-12</t>
  </si>
  <si>
    <t>pico</t>
  </si>
  <si>
    <t>p</t>
  </si>
  <si>
    <t>10^-15</t>
  </si>
  <si>
    <t>femto</t>
  </si>
  <si>
    <t>f</t>
  </si>
  <si>
    <t>10^-18</t>
  </si>
  <si>
    <t>atto</t>
  </si>
  <si>
    <t>a</t>
  </si>
  <si>
    <t>10^-21</t>
  </si>
  <si>
    <t>zepto</t>
  </si>
  <si>
    <t>z</t>
  </si>
  <si>
    <t>10^-24</t>
  </si>
  <si>
    <t>yocto</t>
  </si>
  <si>
    <t>y</t>
  </si>
  <si>
    <t xml:space="preserve">Sources: </t>
  </si>
  <si>
    <t>http://wds.iea.org/wds/pdf/documentation_co2_2012.pdf</t>
  </si>
  <si>
    <t>http://www.exo.net/~pauld/physics/Metric_prefixes.html</t>
  </si>
  <si>
    <t>Global warming potentials</t>
  </si>
  <si>
    <t>Greenhouse gas</t>
  </si>
  <si>
    <t>tCO2e/t of gas</t>
  </si>
  <si>
    <t>CO</t>
  </si>
  <si>
    <t>CH4</t>
  </si>
  <si>
    <t>N2O</t>
  </si>
  <si>
    <t>Useful links, references</t>
  </si>
  <si>
    <t>https://www.gov.uk/government/publications/biofuels-carbon-calculator-rtfo</t>
  </si>
  <si>
    <t>JEC WTT v5</t>
  </si>
  <si>
    <t>https://ec.europa.eu/jrc/en/publication/eur-scientific-and-technical-research-reports/jec-well-tank-report-v5</t>
  </si>
  <si>
    <t>JRC updated input data for biofuel GHG default values</t>
  </si>
  <si>
    <t>http://www.biograce.net/home</t>
  </si>
  <si>
    <t>EcoInvent/ISCC database of GHG emissions</t>
  </si>
  <si>
    <t>Allocation of GHG emissions to main output of each module</t>
  </si>
  <si>
    <t>Cumulative backward chain allocation of GHG emissions</t>
  </si>
  <si>
    <t>Total chain</t>
  </si>
  <si>
    <t>Module total</t>
  </si>
  <si>
    <t>hr/yr</t>
  </si>
  <si>
    <t>Type of input/output</t>
  </si>
  <si>
    <t>Description of input/output</t>
  </si>
  <si>
    <t>Value</t>
  </si>
  <si>
    <t>Flow in from/out to:</t>
  </si>
  <si>
    <t>Reference for GHG intensity</t>
  </si>
  <si>
    <t>Comments &amp; questions</t>
  </si>
  <si>
    <t>Inputs</t>
  </si>
  <si>
    <t>Module main feedstock</t>
  </si>
  <si>
    <t>Yes</t>
  </si>
  <si>
    <t>Energy</t>
  </si>
  <si>
    <t>e.g. Electricity</t>
  </si>
  <si>
    <t>NA</t>
  </si>
  <si>
    <t>e.g. Diesel</t>
  </si>
  <si>
    <t>Outputs</t>
  </si>
  <si>
    <t>Module main output</t>
  </si>
  <si>
    <t>No</t>
  </si>
  <si>
    <t>Wastes</t>
  </si>
  <si>
    <t>e.g. Natural gas</t>
  </si>
  <si>
    <t>Co-products</t>
  </si>
  <si>
    <t>Residues</t>
  </si>
  <si>
    <t>e.g. Ash</t>
  </si>
  <si>
    <t>Chemicals</t>
  </si>
  <si>
    <t>e.g. Oxygen</t>
  </si>
  <si>
    <t>e.g. FT waxes</t>
  </si>
  <si>
    <t>Version control</t>
  </si>
  <si>
    <t>https://www.ipcc.ch/site/assets/uploads/2018/02/ar4-wg1-chapter2-1.pdf</t>
  </si>
  <si>
    <t>H2</t>
  </si>
  <si>
    <t>JRC updated data for solid/gaseous biogenic GHG default values</t>
  </si>
  <si>
    <t>https://web.archive.org/web/20190605065129/http://www.arb.ca.gov/fuels/lcfs/workgroups/lcfssustain/ISCC_EU_205_GHG_Calculation_and_GHG_Audit_2.3_eng.pdf</t>
  </si>
  <si>
    <t>https://iea.blob.core.windows.net/assets/deebef5d-0c34-4539-9d0c-10b13d840027/NetZeroby2050-ARoadmapfortheGlobalEnergySector_CORR.pdf</t>
  </si>
  <si>
    <t>Biofuel, RFNBO, nuclear or RCF consignment?</t>
  </si>
  <si>
    <t>https://www.gov.uk/government/publications/atmospheric-implications-of-increased-hydrogen-use</t>
  </si>
  <si>
    <t>GHG intensity of electricity consumed by UK industrial users</t>
  </si>
  <si>
    <t>UK Low Carbon Hydrogen Standard - data table annex</t>
  </si>
  <si>
    <t>https://assets.publishing.service.gov.uk/government/uploads/system/uploads/attachment_data/file/1067394/low-carbon-hydrogen-standard-guidance-data-tables.pdf</t>
  </si>
  <si>
    <t>0.45% methane loss suggested for gas distribution grid transport</t>
  </si>
  <si>
    <t>http://www.element-energy.co.uk/wordpress/wp-content/uploads/2021/08/Zemo-Low-Carbon-Hydrogen-WTT-Pathways-full-report.pdf</t>
  </si>
  <si>
    <t>Biograce II biomass electricity, heating, cooling calculator (RED II compliant)</t>
  </si>
  <si>
    <t>https://www.biograce.net/biograce2/</t>
  </si>
  <si>
    <t>Biograce I biofuels calculator (RED I compliant)</t>
  </si>
  <si>
    <t>The following links can provide useful data sources that may be relevant</t>
  </si>
  <si>
    <t>IEA Net Zero Emissions by 2050 scenario</t>
  </si>
  <si>
    <t>Please provide a schematic representation of your system boundary and supply chain for the fuel consignment(s) analysed in this Workbook</t>
  </si>
  <si>
    <t>Refuelling</t>
  </si>
  <si>
    <t>AFF@ricardo.com</t>
  </si>
  <si>
    <t>Advanced Fuels Fund threshold</t>
  </si>
  <si>
    <t>Demonstration or FOAK commercial project?</t>
  </si>
  <si>
    <t>Other relevant evidence</t>
  </si>
  <si>
    <t>Unit conversions that can be used throughout the workbook (additional conversions can be added if required)</t>
  </si>
  <si>
    <t>Please provide a schematic representation of your system boundary, for the chosen consignment</t>
  </si>
  <si>
    <t>Results tab showing module efficiencies, emissions, allocation between products and chain total GHG emissions (inc. fossil feedstock counterfactual emissions). Include with your application form</t>
  </si>
  <si>
    <t>Additional evidence</t>
  </si>
  <si>
    <t>RCF counterfactual</t>
  </si>
  <si>
    <t>Calculation of the counterfactual GHG emissions of diverting waste fossil feedstock away from its current use</t>
  </si>
  <si>
    <t>Workbook structure</t>
  </si>
  <si>
    <t>cubic feet (ft3)</t>
  </si>
  <si>
    <t>Maximum permitted GHG emissions for each fuel consignment under the Advanced Fuels Fund, UK grid electricity GHG emissions factor to be used, other useful reference sources</t>
  </si>
  <si>
    <t>Highlighted cell to match chosen year (cell input not required)</t>
  </si>
  <si>
    <t>If applicable, evidence of compliance with waste hierarchy</t>
  </si>
  <si>
    <t>If applicable, evidence that biomass feedstock likely to qualify as double-counting, sustainable residue or waste (and is not a segregated fat/oil)</t>
  </si>
  <si>
    <t>If applicable, evidence that biomass or RCF feedstock meets definition of a "waste"</t>
  </si>
  <si>
    <t>If applicable, evidence on compatibility of CO2 sourcing (for RNFBO and nuclear e-fuels)</t>
  </si>
  <si>
    <t>Disclaimer</t>
  </si>
  <si>
    <t>The onus is on the applicant to carefully check all the data they input and any suggested datasets referenced within the tool that they rely on within their calculations.</t>
  </si>
  <si>
    <t>Guidance</t>
  </si>
  <si>
    <t>Evidence for biomass feedstocks, wastes, CO2 sourcing, Low Carbon Hydrogen Standard, fossil hydrogen limit, CCU and CCS</t>
  </si>
  <si>
    <r>
      <t>Emissions from displaced energy use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 prior to allocation</t>
    </r>
  </si>
  <si>
    <t>Efficiency of feedstock conversion to RCF (%), calculated from the total chain efficiency</t>
  </si>
  <si>
    <r>
      <t>This worksheet calculates the fossil feedstock counterfactual emissions in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of final fuel (prior to allocation), which will feed into the "Summary" tab (cell F3)</t>
    </r>
  </si>
  <si>
    <t>Recycled Carbon Fuels counterfactual emissions</t>
  </si>
  <si>
    <t>This worksheet should only be filled in if considering a recycled carbon fuel (RCF) consignment within this Excel workbook (as selected in the Guidance worksheet).</t>
  </si>
  <si>
    <r>
      <t>GHG emissions threshold is 31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for biofuels, RFNBO and nuclear energy derived fuels. See the "Assumptions" worksheet for the RCF threshold trajectory over time</t>
    </r>
  </si>
  <si>
    <t>Biofuel</t>
  </si>
  <si>
    <t>Renewable fuel of non-biological origin (RFNBO)</t>
  </si>
  <si>
    <t>Nuclear energy derived fuel</t>
  </si>
  <si>
    <t>Recycled carbon fuel (RCF)</t>
  </si>
  <si>
    <t>Efficiency of conversion in counterfactual use (%). 22% is assuming EfW power generation is the appropriate counterfactual for your feedstock. Change this value if using a different counterfactual</t>
  </si>
  <si>
    <t>e.g. Forestry residues</t>
  </si>
  <si>
    <t>e.g. Heating oil</t>
  </si>
  <si>
    <t>e.g. Chemicals</t>
  </si>
  <si>
    <t>e.g. Catalyst</t>
  </si>
  <si>
    <t xml:space="preserve">e.g. Water </t>
  </si>
  <si>
    <t>Materials</t>
  </si>
  <si>
    <t>tonnes/yr</t>
  </si>
  <si>
    <t>MWh/yr (LHV)</t>
  </si>
  <si>
    <r>
      <t>GHG intensity 
(gCO</t>
    </r>
    <r>
      <rPr>
        <b/>
        <vertAlign val="subscript"/>
        <sz val="11"/>
        <color rgb="FF000098"/>
        <rFont val="Calibri"/>
        <family val="2"/>
      </rPr>
      <t>2</t>
    </r>
    <r>
      <rPr>
        <b/>
        <sz val="11"/>
        <color rgb="FF000098"/>
        <rFont val="Calibri"/>
        <family val="2"/>
      </rPr>
      <t>e/kg of material) - for materials with kg/hr units</t>
    </r>
  </si>
  <si>
    <r>
      <t>GHG emissions (gCO</t>
    </r>
    <r>
      <rPr>
        <b/>
        <vertAlign val="subscript"/>
        <sz val="11"/>
        <color rgb="FF000098"/>
        <rFont val="Calibri"/>
        <family val="2"/>
      </rPr>
      <t>2</t>
    </r>
    <r>
      <rPr>
        <b/>
        <sz val="11"/>
        <color rgb="FF000098"/>
        <rFont val="Calibri"/>
        <family val="2"/>
      </rPr>
      <t>e/MJ</t>
    </r>
    <r>
      <rPr>
        <b/>
        <vertAlign val="subscript"/>
        <sz val="11"/>
        <color rgb="FF000098"/>
        <rFont val="Calibri"/>
        <family val="2"/>
      </rPr>
      <t>LHV</t>
    </r>
    <r>
      <rPr>
        <b/>
        <sz val="11"/>
        <color rgb="FF000098"/>
        <rFont val="Calibri"/>
        <family val="2"/>
      </rPr>
      <t xml:space="preserve"> module main output), WITHOUT allocation</t>
    </r>
  </si>
  <si>
    <t>e.g. Forestry residue chips</t>
  </si>
  <si>
    <t>e.g. Co-product 1</t>
  </si>
  <si>
    <t>e.g. Co-product 2</t>
  </si>
  <si>
    <t>e.g. Wastewater</t>
  </si>
  <si>
    <t>e.g. Sulphur</t>
  </si>
  <si>
    <t>e.g. Methane emitted, net of any mitigation</t>
  </si>
  <si>
    <t>e.g. N2O emitted, net of any mitigation</t>
  </si>
  <si>
    <t>Zero up to point of collection for wastes/residues</t>
  </si>
  <si>
    <t>IPCC Fifth Assessment Report (AR5), GWP100 without carbon feedbacks</t>
  </si>
  <si>
    <t>Other characteristics</t>
  </si>
  <si>
    <t>Operating hours</t>
  </si>
  <si>
    <t>Full-load equivalents</t>
  </si>
  <si>
    <t>e.g. Spent catalysts</t>
  </si>
  <si>
    <t>Capture rate</t>
  </si>
  <si>
    <t>CCS capture rate</t>
  </si>
  <si>
    <t>%</t>
  </si>
  <si>
    <t>CO2 losses in T&amp;S</t>
  </si>
  <si>
    <t>CO2 lost during transmission and storage</t>
  </si>
  <si>
    <t>e.g. Jet fuel</t>
  </si>
  <si>
    <t>e.g. Forestry residue pellets</t>
  </si>
  <si>
    <t>e.g. Biogenic CO2 captured and sequestered</t>
  </si>
  <si>
    <t>e.g. Fossil CO2 captured and sequestered</t>
  </si>
  <si>
    <t>Fossil CO2 generated and emitted (no CO2 capture) is given a penalty of 1 tonne CO2e/tonne CO2</t>
  </si>
  <si>
    <t>Biogenic CO2 has nil GWP</t>
  </si>
  <si>
    <t>e.g. Naphtha</t>
  </si>
  <si>
    <t>e.g. Reject materials, losses</t>
  </si>
  <si>
    <t xml:space="preserve">An applicant achieving a satisfactory GHG emissions result within the template is not necessarily proof of compliance with the Advanced Fuels Fund’s GHG emissions eligibility criteria, nor with the UK's RTFO or SAF mandate. </t>
  </si>
  <si>
    <t>Only once a completed version of this workbook, accompanying workbooks for any other fuel consignments (where relevant) and all accompanying evidence have been subject to detailed review for validity and consistency (which will happen throughout the funding allocation process) will DfT be able to state whether a project is compliant with the GHG eligibility requirements of the Advanced Fuels Fund.</t>
  </si>
  <si>
    <t>Accounting for only the emissions in supplying this input. Record any GHGs released on use in outputs table below</t>
  </si>
  <si>
    <t>Project name</t>
  </si>
  <si>
    <t>Project location</t>
  </si>
  <si>
    <t>Conversion technology pathway</t>
  </si>
  <si>
    <t>Feedstock (in this workbook)</t>
  </si>
  <si>
    <t>Consignment, project, year and contact information, workbook legend, structure and disclaimer. Complete the initial questions at the top of this worksheet</t>
  </si>
  <si>
    <t>Include a copy of this table in your application form</t>
  </si>
  <si>
    <t>https://assets.publishing.service.gov.uk/government/uploads/system/uploads/attachment_data/file/1042782/rtfo-guidance-for-biomethane-including-as-a-chemical-precursor.pdf</t>
  </si>
  <si>
    <t>0.13% methane loss per 1000km suggested for NTS gas grid transport</t>
  </si>
  <si>
    <t xml:space="preserve"> </t>
  </si>
  <si>
    <r>
      <t xml:space="preserve">Supply chain module 
</t>
    </r>
    <r>
      <rPr>
        <sz val="11"/>
        <color rgb="FF000000"/>
        <rFont val="Calibri"/>
        <family val="2"/>
      </rPr>
      <t>(module &amp; tab names can be altered)</t>
    </r>
  </si>
  <si>
    <r>
      <t xml:space="preserve">Is the module used? 
</t>
    </r>
    <r>
      <rPr>
        <sz val="11"/>
        <color rgb="FF000000"/>
        <rFont val="Calibri"/>
        <family val="2"/>
      </rPr>
      <t>(to complete)</t>
    </r>
  </si>
  <si>
    <r>
      <t xml:space="preserve">GHG emissions from module, WITH allocation </t>
    </r>
    <r>
      <rPr>
        <sz val="11"/>
        <color rgb="FF000000"/>
        <rFont val="Calibri"/>
        <family val="2"/>
      </rPr>
      <t>(gCO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final fuel)</t>
    </r>
  </si>
  <si>
    <r>
      <t xml:space="preserve">GHG emissions from module, WITHOUT allocation
</t>
    </r>
    <r>
      <rPr>
        <sz val="11"/>
        <color rgb="FF000000"/>
        <rFont val="Calibri"/>
        <family val="2"/>
      </rPr>
      <t>(gCO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final fuel)</t>
    </r>
  </si>
  <si>
    <r>
      <t xml:space="preserve">GHG emissions from module, WITHOUT allocation
</t>
    </r>
    <r>
      <rPr>
        <sz val="11"/>
        <color rgb="FF000000"/>
        <rFont val="Calibri"/>
        <family val="2"/>
      </rPr>
      <t>(gCO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module main output)</t>
    </r>
  </si>
  <si>
    <r>
      <t xml:space="preserve">Cumulative backward chain efficiency 
</t>
    </r>
    <r>
      <rPr>
        <sz val="11"/>
        <color rgb="FF000000"/>
        <rFont val="Calibri"/>
        <family val="2"/>
      </rPr>
      <t>(MJ</t>
    </r>
    <r>
      <rPr>
        <vertAlign val="subscript"/>
        <sz val="11"/>
        <color rgb="FF000000"/>
        <rFont val="Calibri"/>
        <family val="2"/>
      </rPr>
      <t>LHV</t>
    </r>
    <r>
      <rPr>
        <sz val="11"/>
        <color rgb="FF000000"/>
        <rFont val="Calibri"/>
        <family val="2"/>
      </rPr>
      <t xml:space="preserve"> module main output/MJ</t>
    </r>
    <r>
      <rPr>
        <vertAlign val="subscript"/>
        <sz val="11"/>
        <color rgb="FF000000"/>
        <rFont val="Calibri"/>
        <family val="2"/>
      </rPr>
      <t>LHV</t>
    </r>
    <r>
      <rPr>
        <sz val="11"/>
        <color rgb="FF000000"/>
        <rFont val="Calibri"/>
        <family val="2"/>
      </rPr>
      <t xml:space="preserve"> final fuel)</t>
    </r>
  </si>
  <si>
    <r>
      <t xml:space="preserve">Module efficiency </t>
    </r>
    <r>
      <rPr>
        <sz val="11"/>
        <color rgb="FF000000"/>
        <rFont val="Calibri"/>
        <family val="2"/>
      </rPr>
      <t>(MJ</t>
    </r>
    <r>
      <rPr>
        <vertAlign val="subscript"/>
        <sz val="11"/>
        <color rgb="FF000000"/>
        <rFont val="Calibri"/>
        <family val="2"/>
      </rPr>
      <t>LHV</t>
    </r>
    <r>
      <rPr>
        <sz val="11"/>
        <color rgb="FF000000"/>
        <rFont val="Calibri"/>
        <family val="2"/>
      </rPr>
      <t xml:space="preserve"> main output/ MJ</t>
    </r>
    <r>
      <rPr>
        <vertAlign val="subscript"/>
        <sz val="11"/>
        <color rgb="FF000000"/>
        <rFont val="Calibri"/>
        <family val="2"/>
      </rPr>
      <t>LHV</t>
    </r>
    <r>
      <rPr>
        <sz val="11"/>
        <color rgb="FF000000"/>
        <rFont val="Calibri"/>
        <family val="2"/>
      </rPr>
      <t xml:space="preserve"> main input)</t>
    </r>
  </si>
  <si>
    <t>https://publications.jrc.ec.europa.eu/repository/handle/JRC104759</t>
  </si>
  <si>
    <t>https://op.europa.eu/en/publication-detail/-/publication/7d6dd4ba-720a-11e9-9f05-01aa75ed71a1</t>
  </si>
  <si>
    <t>Evidence that avoided GHG emissions from industrial waste fossil gases are not already counted elsewhere (e.g. in an Emissions Trading Scheme), and that they have not been attributed to the final fuel</t>
  </si>
  <si>
    <t>Evidence that industrial waste fossil gases used in RCFs are not displacing heat generation. Or if heat is being displaced, state the efficiency of its generation and how much heat is being displaced, and its emissions factor (in what year), and feed this into the above calculations</t>
  </si>
  <si>
    <t>The emission factor for the displaced electricity in the counterfactual should be the latest published figures for a full reporting year for the average generation of that electricity in the country where the feedstock and fuel is produced.</t>
  </si>
  <si>
    <t>For industrial waste fossil gases, for the purposes of the AFF, the same default counterfactual should be considered, i.e. electricity generation (no heat sales, and no CCS) at 22% net electrical efficiency.</t>
  </si>
  <si>
    <t>However, an alternative counterfactual for industrial waste fossil gases could be considered at the production plant level if sufficient evidence is provided below.</t>
  </si>
  <si>
    <t>Evidence for any alternative counterfactual for industrial waste fossil gases - state clearly how the gas is used, what output product is being displaced, the efficiency of its generation and how much product is displaced, and its emissions factor (in what year), and feed this into the above calculations</t>
  </si>
  <si>
    <r>
      <t>Emission factor of the displaced energy in counterfactual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If UK grid power, use the factor in the Assumptions tab for the first full year of operations. If overseas power, use published projections for the relevant country and year. If another counterfactual applies, e.g. heat generation, input the emissions factor</t>
    </r>
  </si>
  <si>
    <t>The industrial facility generating the waste fossil gases also must demonstrate that they are not counting or claiming (e.g. under an Emissions Trading Scheme) a reduction in their GHG emissions from diverting gases to RCF production, and that these avoided GHG emissions have not been attributed to the final fuel.</t>
  </si>
  <si>
    <t>If applicable, evidence that hydrogen is likely to meet UK Low Carbon Hydrogen Standard in the first full year of operations</t>
  </si>
  <si>
    <t>If applicable, calculation of the amount of fossil-fuel derived hydrogen used compared to total fuels output (and compliance with 5% threshold in any year)</t>
  </si>
  <si>
    <t>Accounting for the emissions in disposing of this output</t>
  </si>
  <si>
    <t>Moisture content (kg water/kg as received)</t>
  </si>
  <si>
    <t>Reference for moisture content</t>
  </si>
  <si>
    <t>Further flow details (e.g. energy source, type, distance, temperature, pressure, purity)</t>
  </si>
  <si>
    <t>Upgrading to fuel</t>
  </si>
  <si>
    <t>UK Government conversion factors for Company Reporting. Year 2024</t>
  </si>
  <si>
    <t>https://www.gov.uk/government/publications/greenhouse-gas-reporting-conversion-factors-2024</t>
  </si>
  <si>
    <t>UK Low Carbon Hydrogen Standard - guidance and annexes</t>
  </si>
  <si>
    <t>https://www.gov.uk/government/publications/uk-low-carbon-hydrogen-standard-emissions-reporting-and-sustainability-criteria</t>
  </si>
  <si>
    <t>RED III text</t>
  </si>
  <si>
    <t>https://eur-lex.europa.eu/legal-content/EN/TXT/PDF/?uri=CELEX:02018L2001-20231120</t>
  </si>
  <si>
    <t>ReFuelEUAviation text</t>
  </si>
  <si>
    <t>RED implementing act</t>
  </si>
  <si>
    <t>https://eur-lex.europa.eu/legal-content/EN/TXT/PDF/?uri=CELEX:02022R0996-20231230</t>
  </si>
  <si>
    <t>https://data.consilium.europa.eu/doc/document/PE-29-2023-INIT/en/pdf</t>
  </si>
  <si>
    <t>Note that the RCF threshold trajectory above does not indicate a confirmed DfT policy position in relation to the RTFO or SAF mandate, as the RCF threshold is updated each year based on actual grid intensities achieved</t>
  </si>
  <si>
    <t>UK &amp; Ireland Carbon Calculator</t>
  </si>
  <si>
    <t>First full year of operations</t>
  </si>
  <si>
    <t>We have highlighted the value to use based on your input first full year in the Guidance worksheet.</t>
  </si>
  <si>
    <t>If applicable, evidence for CCU use and compliance with RTFO &amp; SAF Mandate Guidance requirements</t>
  </si>
  <si>
    <t>If applicable, evidence for CCS use and compliance with RTFO &amp; SAF Mandate Guidance requirements</t>
  </si>
  <si>
    <t>Following the RTFO &amp; SAF Mandate Guidance, DfT include emissions arising from the diversion of RCF feedstocks from their existing counterfactual use within the total RCF emissions calculation.</t>
  </si>
  <si>
    <t>For the fossil fraction of RDF, the current counterfactual use is set as Energy-from-Waste combustion with electricity generation (no heat sales, and no CCS), at 22% net electrical efficiency.</t>
  </si>
  <si>
    <t>For the purposes of the AFF, the grid electricity intensity trajectory in the Assumptions worksheet shall be used.</t>
  </si>
  <si>
    <t>Suppliers of RCFs produced from industrial waste fossil gases must demonstrate that heat generation is not displaced by the production of RCFs. If heat is displaced, then the counterfactual use will need to be set as heat generation, and the calculations below will need adjusted.</t>
  </si>
  <si>
    <r>
      <t>Module efficiency (MJ</t>
    </r>
    <r>
      <rPr>
        <b/>
        <vertAlign val="subscript"/>
        <sz val="11"/>
        <color rgb="FF000098"/>
        <rFont val="Calibri"/>
        <family val="2"/>
      </rPr>
      <t>LHV wet</t>
    </r>
    <r>
      <rPr>
        <b/>
        <sz val="11"/>
        <color rgb="FF000098"/>
        <rFont val="Calibri"/>
        <family val="2"/>
      </rPr>
      <t xml:space="preserve"> module main output/MJ</t>
    </r>
    <r>
      <rPr>
        <b/>
        <vertAlign val="subscript"/>
        <sz val="11"/>
        <color rgb="FF000098"/>
        <rFont val="Calibri"/>
        <family val="2"/>
      </rPr>
      <t>LHV wet</t>
    </r>
    <r>
      <rPr>
        <b/>
        <sz val="11"/>
        <color rgb="FF000098"/>
        <rFont val="Calibri"/>
        <family val="2"/>
      </rPr>
      <t xml:space="preserve"> module main input)</t>
    </r>
  </si>
  <si>
    <r>
      <t>Energy allocation (MJ</t>
    </r>
    <r>
      <rPr>
        <b/>
        <vertAlign val="subscript"/>
        <sz val="11"/>
        <color rgb="FF000098"/>
        <rFont val="Calibri"/>
        <family val="2"/>
      </rPr>
      <t>LHV allocation</t>
    </r>
    <r>
      <rPr>
        <b/>
        <sz val="11"/>
        <color rgb="FF000098"/>
        <rFont val="Calibri"/>
        <family val="2"/>
      </rPr>
      <t xml:space="preserve"> main product/MJ</t>
    </r>
    <r>
      <rPr>
        <b/>
        <vertAlign val="subscript"/>
        <sz val="11"/>
        <color rgb="FF000098"/>
        <rFont val="Calibri"/>
        <family val="2"/>
      </rPr>
      <t>LHV allocation</t>
    </r>
    <r>
      <rPr>
        <b/>
        <sz val="11"/>
        <color rgb="FF000098"/>
        <rFont val="Calibri"/>
        <family val="2"/>
      </rPr>
      <t xml:space="preserve"> all module products)</t>
    </r>
  </si>
  <si>
    <r>
      <t>Equivalent energy flow (MWh/yr LHV</t>
    </r>
    <r>
      <rPr>
        <b/>
        <vertAlign val="subscript"/>
        <sz val="11"/>
        <color rgb="FF000098"/>
        <rFont val="Calibri"/>
        <family val="2"/>
      </rPr>
      <t>wet</t>
    </r>
    <r>
      <rPr>
        <b/>
        <sz val="11"/>
        <color rgb="FF000098"/>
        <rFont val="Calibri"/>
        <family val="2"/>
      </rPr>
      <t>)</t>
    </r>
  </si>
  <si>
    <r>
      <t>Lower heating value [LHV] (MJ/kg</t>
    </r>
    <r>
      <rPr>
        <b/>
        <vertAlign val="subscript"/>
        <sz val="11"/>
        <color rgb="FF000098"/>
        <rFont val="Calibri"/>
        <family val="2"/>
      </rPr>
      <t>dry</t>
    </r>
    <r>
      <rPr>
        <b/>
        <sz val="11"/>
        <color rgb="FF000098"/>
        <rFont val="Calibri"/>
        <family val="2"/>
      </rPr>
      <t>)</t>
    </r>
  </si>
  <si>
    <r>
      <t>Reference for LHV</t>
    </r>
    <r>
      <rPr>
        <b/>
        <vertAlign val="subscript"/>
        <sz val="11"/>
        <color rgb="FF000098"/>
        <rFont val="Calibri"/>
        <family val="2"/>
      </rPr>
      <t>dry</t>
    </r>
  </si>
  <si>
    <r>
      <t>GHG intensity 
(gCO</t>
    </r>
    <r>
      <rPr>
        <b/>
        <vertAlign val="subscript"/>
        <sz val="11"/>
        <color rgb="FF000098"/>
        <rFont val="Calibri"/>
        <family val="2"/>
      </rPr>
      <t>2</t>
    </r>
    <r>
      <rPr>
        <b/>
        <sz val="11"/>
        <color rgb="FF000098"/>
        <rFont val="Calibri"/>
        <family val="2"/>
      </rPr>
      <t>e/MJ</t>
    </r>
    <r>
      <rPr>
        <b/>
        <vertAlign val="subscript"/>
        <sz val="11"/>
        <color rgb="FF000098"/>
        <rFont val="Calibri"/>
        <family val="2"/>
      </rPr>
      <t>LHV wet</t>
    </r>
    <r>
      <rPr>
        <b/>
        <sz val="11"/>
        <color rgb="FF000098"/>
        <rFont val="Calibri"/>
        <family val="2"/>
      </rPr>
      <t xml:space="preserve"> of energy) - for materials with MWh/yr (LHV) units</t>
    </r>
  </si>
  <si>
    <r>
      <t>Co-product heat/steam temperature (</t>
    </r>
    <r>
      <rPr>
        <b/>
        <sz val="11"/>
        <color rgb="FF000098"/>
        <rFont val="Aptos Narrow"/>
        <family val="2"/>
      </rPr>
      <t>°</t>
    </r>
    <r>
      <rPr>
        <b/>
        <sz val="11"/>
        <color rgb="FF000098"/>
        <rFont val="Calibri"/>
        <family val="2"/>
      </rPr>
      <t>C)</t>
    </r>
  </si>
  <si>
    <t>Enter data here</t>
  </si>
  <si>
    <t>Enter enthalpy</t>
  </si>
  <si>
    <t>Co-product heat</t>
  </si>
  <si>
    <t>Co-product steam</t>
  </si>
  <si>
    <r>
      <t>Grid electricity GHG intensity (gCO</t>
    </r>
    <r>
      <rPr>
        <vertAlign val="subscript"/>
        <sz val="11"/>
        <color rgb="FF000000"/>
        <rFont val="Calibri"/>
        <family val="2"/>
      </rPr>
      <t>2</t>
    </r>
    <r>
      <rPr>
        <sz val="11"/>
        <color rgb="FF000000"/>
        <rFont val="Calibri"/>
        <family val="2"/>
      </rPr>
      <t>e/MJ</t>
    </r>
    <r>
      <rPr>
        <vertAlign val="subscript"/>
        <sz val="11"/>
        <color rgb="FF000000"/>
        <rFont val="Calibri"/>
        <family val="2"/>
      </rPr>
      <t>e</t>
    </r>
    <r>
      <rPr>
        <sz val="11"/>
        <color rgb="FF000000"/>
        <rFont val="Calibri"/>
        <family val="2"/>
      </rPr>
      <t>)</t>
    </r>
  </si>
  <si>
    <t>ERM, Ricardo and DfT take no responsibility for any user errors or inconsistent datasets being used.</t>
  </si>
  <si>
    <t>Please note that this trajectory is supplied from DESNZ forecasts, based off the National Grid FES Holistic Scenario (including BECCS), and actual grid factors will differ from these projections. Grid mix projections for Northern Ireland were not available, so this National Grid GB grid dataset should be used for all UK projects.</t>
  </si>
  <si>
    <t>These values include upstream &amp; generation emissions for GB generation and imports, as well as downstream T&amp;D losses. A floor value of zero (from 2035) has been taken for the purposes of the AFF, to align with other UK Government policies.</t>
  </si>
  <si>
    <t>Compliance with the RTFO &amp; SAF Mandate Guidance during operations will rely on using actual grid factors (that apply this full scope of emissions) from "relevant competent authorities". Note current National Grid and EirGrid live reporting of GB and NI grid intensities do NOT include upstream emissions.</t>
  </si>
  <si>
    <t>https://www.gov.uk/government/publications/saf-mandate-compliance</t>
  </si>
  <si>
    <t>https://www.gov.uk/government/publications/rtfo-compliance</t>
  </si>
  <si>
    <t>RTFO Compliance guidance</t>
  </si>
  <si>
    <t>SAF Mandate Compliance guidance</t>
  </si>
  <si>
    <t>RTFO and SAF Mandate technical guidance</t>
  </si>
  <si>
    <t>https://www.gov.uk/government/publications/rtfo-and-saf-mandate-technical-information</t>
  </si>
  <si>
    <r>
      <t>E</t>
    </r>
    <r>
      <rPr>
        <vertAlign val="subscript"/>
        <sz val="11"/>
        <color rgb="FF000000"/>
        <rFont val="Calibri"/>
        <family val="2"/>
      </rPr>
      <t>disp</t>
    </r>
  </si>
  <si>
    <r>
      <t>Ef</t>
    </r>
    <r>
      <rPr>
        <vertAlign val="subscript"/>
        <sz val="11"/>
        <color rgb="FF000000"/>
        <rFont val="Calibri"/>
        <family val="2"/>
      </rPr>
      <t>e</t>
    </r>
  </si>
  <si>
    <r>
      <t>E</t>
    </r>
    <r>
      <rPr>
        <vertAlign val="subscript"/>
        <sz val="11"/>
        <color rgb="FF000000"/>
        <rFont val="Calibri"/>
        <family val="2"/>
      </rPr>
      <t>e</t>
    </r>
  </si>
  <si>
    <r>
      <t>Ef</t>
    </r>
    <r>
      <rPr>
        <vertAlign val="subscript"/>
        <sz val="11"/>
        <color rgb="FF000000"/>
        <rFont val="Calibri"/>
        <family val="2"/>
      </rPr>
      <t>RCF</t>
    </r>
  </si>
  <si>
    <t>e.g. Co-product heat exported</t>
  </si>
  <si>
    <t>e.g. Co-product steam exported</t>
  </si>
  <si>
    <t>Source / evidence (e.g. reports, contracts, delivery notes, lab tests, model)</t>
  </si>
  <si>
    <t>Does the flow cross the GHG assessment boundary?</t>
  </si>
  <si>
    <r>
      <t>Equivalent energy flow for allocation (MWh/yr LHV</t>
    </r>
    <r>
      <rPr>
        <b/>
        <vertAlign val="subscript"/>
        <sz val="11"/>
        <color rgb="FF000098"/>
        <rFont val="Calibri"/>
        <family val="2"/>
      </rPr>
      <t>allocation</t>
    </r>
    <r>
      <rPr>
        <b/>
        <sz val="11"/>
        <color rgb="FF000098"/>
        <rFont val="Calibri"/>
        <family val="2"/>
      </rPr>
      <t>)</t>
    </r>
  </si>
  <si>
    <t>Co-product electricity</t>
  </si>
  <si>
    <t>e.g. Co-product electricity exported</t>
  </si>
  <si>
    <t>(Unlikely to be any arising from this step)</t>
  </si>
  <si>
    <t>e.g. Fuel gas exported</t>
  </si>
  <si>
    <t>Fossil CO2 utilised is not given a credit under RCF rules</t>
  </si>
  <si>
    <t>e.g. Fossil CO2 captured and utilised</t>
  </si>
  <si>
    <t>Fossil feedstock CO2 generated and emitted (no CO2 capture) is given a penalty of 0 tonne CO2e/tonne CO2, under RCF rules, due to assumed emission to atmosphere in the counterfactual</t>
  </si>
  <si>
    <t>e.g. Biogenic CO2 emitted (e.g. some biogenic off-gases burnt onsite for heating)</t>
  </si>
  <si>
    <t>e.g. Fossil feedstock CO2 emitted (e.g. combustion of fossil fraction of feedstock)</t>
  </si>
  <si>
    <t>e.g. Fossil non-feedstock CO2 emitted (e.g. combustion of diesel, nat gas)</t>
  </si>
  <si>
    <t>Fossil non-feedstock CO2 generated and emitted (no CO2 capture) is given a penalty of 1 tonne CO2e/tonne CO2 under RCF rules</t>
  </si>
  <si>
    <t>Biogenic CO2 sequestered is given a credit of up to 1 tonne CO2e/tonne CO2, but any emissions for capture, processing and transport of that CO2 (including any fugitive emissions/leakage) need subtracted to derive the net emissions avoided</t>
  </si>
  <si>
    <t>Net CO2 sequestered</t>
  </si>
  <si>
    <t>Net CO2 utilised</t>
  </si>
  <si>
    <t>CO2 emitted</t>
  </si>
  <si>
    <t>Fugitive non-CO2 emitted</t>
  </si>
  <si>
    <t>Fossil CO2 sequestered is given a credit of up to 1 tonne CO2e/tonne CO2, under RCF rules, but any emissions for capture, processing and transport of that CO2 (including any fugitive emissions/leakage) need subtracted to derive the net emissions avoided</t>
  </si>
  <si>
    <t>e.g. Biogenic CO2 captured and utilised (replacing fossil-derived CO2 in commercial applications)</t>
  </si>
  <si>
    <t>Biogenic CO2 utilised (meeting evidence requirements) is given a credit of up to 1 tonne CO2e/tonne CO2, but any emissions for capture, processing and transport of that CO2 (including any fugitive emissions/leakage) need subtracted to derive the net emissions avoided</t>
  </si>
  <si>
    <t>e.g. Fossil CO2 emitted onsite from use of inputs</t>
  </si>
  <si>
    <t>FOAK commercial project</t>
  </si>
  <si>
    <t xml:space="preserve">GHG emissions calculation template - Appendix H - FOAK commercial plant </t>
  </si>
  <si>
    <t xml:space="preserve"> DfT Advanced Fuels Fund (Window 3)</t>
  </si>
  <si>
    <t xml:space="preserve">If your plant is proposing to start full operations in e.g. August 2028, your first full calendar year of operations is 2029. You should therefore use the 2029 grid factor above for any consumption of UK grid electricity. </t>
  </si>
  <si>
    <t>First full calendar year of operations for your proposed plant</t>
  </si>
  <si>
    <r>
      <t>Maximum permissible GHG emissions intensity of a fuel consignment (gCO</t>
    </r>
    <r>
      <rPr>
        <b/>
        <vertAlign val="subscript"/>
        <sz val="11"/>
        <color rgb="FF000000"/>
        <rFont val="Calibri"/>
        <family val="2"/>
      </rPr>
      <t>2</t>
    </r>
    <r>
      <rPr>
        <b/>
        <sz val="11"/>
        <color rgb="FF000000"/>
        <rFont val="Calibri"/>
        <family val="2"/>
      </rPr>
      <t>e/MJ</t>
    </r>
    <r>
      <rPr>
        <b/>
        <vertAlign val="subscript"/>
        <sz val="11"/>
        <color rgb="FF000000"/>
        <rFont val="Calibri"/>
        <family val="2"/>
      </rPr>
      <t>LHV</t>
    </r>
    <r>
      <rPr>
        <b/>
        <sz val="11"/>
        <color rgb="FF000000"/>
        <rFont val="Calibri"/>
        <family val="2"/>
      </rPr>
      <t>)</t>
    </r>
  </si>
  <si>
    <t>Complete each of the applicable chain component worksheet, ensuring that all inputs and outputs for each process are captured. In each worksheet, a set of example inputs and outputs are provided. This should not be considered an exhaustive list, and some of the examples may not apply to your process, so red text should be deleted or adapted as appropriate.
The input and output values should be reported in tonnes/yr or MWh/yr. If you are converting from tonnes/hr or MW, please provide the assumed operating hours at the bottom of the worksheet. 
If a worksheet is not required, set the relevant row in column C in the Summary tab to "No", and this will keep the worksheet result as 100% efficiency, 100% allocation with no added GHG emissions (i.e. no impact).
The number of workbooks required will depend on (a) the technology readiness level of the plant and (b) whether multiple/mixed feedstocks are used: 
(a) For those applying for funding for a FOAK commercial plant, just complete 1 workbook for that plant. For those applying for funding for a demo plant, complete 2 separate Excel workbooks, one for the demo plant and one for a future commercial-sized plant (detailing and evidencing reasonable levels of process integration and optimisation, any changes in feedstock or major changes from the demo plant).
(b) Please complete separate Excel workbooks for each feedstock used. If your feedstock is a mix of biogenic and fossil fractions, complete separate Excel workbooks for the renewable and non-renewable consignments (using the different biofuel and RCF GHG methodologies), splitting project tonnages across the two workbooks (noting input/output LHVs and conversion efficiencies can remain the same).</t>
  </si>
  <si>
    <t>v1.2</t>
  </si>
  <si>
    <t>Updated version for AFF window 3, correction to column O formulae in supply chain worksheets to include moisture content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</si>
</sst>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43" formatCode="_-* #,##0.00_-;\-* #,##0.00_-;_-* &quot;-&quot;??_-;_-@_-"/>
    <numFmt numFmtId="164" formatCode="0.0000"/>
    <numFmt numFmtId="165" formatCode="dd\-mmm\-yyyy"/>
    <numFmt numFmtId="166" formatCode="0.000000"/>
    <numFmt numFmtId="167" formatCode="#,##0.0000"/>
    <numFmt numFmtId="168" formatCode="#,##0.0000000"/>
    <numFmt numFmtId="169" formatCode="0.00000"/>
    <numFmt numFmtId="170" formatCode="0.000"/>
    <numFmt numFmtId="171" formatCode="#,##0.000"/>
    <numFmt numFmtId="172" formatCode="0.0000000"/>
    <numFmt numFmtId="173" formatCode="#,##0.0"/>
    <numFmt numFmtId="174" formatCode="0.0"/>
    <numFmt numFmtId="175" formatCode="#,##0.00000"/>
    <numFmt numFmtId="176" formatCode="dd\ mmm\ yyyy"/>
    <numFmt numFmtId="177" formatCode="0.0%"/>
  </numFmts>
  <fonts count="5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color theme="0" tint="-0.499984740745262"/>
      <name val="Calibri"/>
      <family val="2"/>
    </font>
    <font>
      <sz val="8"/>
      <color theme="0" tint="-0.499984740745262"/>
      <name val="Calibri"/>
      <family val="2"/>
    </font>
    <font>
      <b/>
      <sz val="11"/>
      <color theme="0"/>
      <name val="Calibri"/>
      <family val="2"/>
    </font>
    <font>
      <sz val="11"/>
      <color rgb="FF000098"/>
      <name val="Calibri"/>
      <family val="2"/>
    </font>
    <font>
      <b/>
      <sz val="11"/>
      <color rgb="FF000098"/>
      <name val="Calibri"/>
      <family val="2"/>
    </font>
    <font>
      <b/>
      <sz val="11"/>
      <color theme="7" tint="-0.499984740745262"/>
      <name val="Calibri"/>
      <family val="2"/>
    </font>
    <font>
      <sz val="11"/>
      <color theme="7" tint="-0.499984740745262"/>
      <name val="Calibri"/>
      <family val="2"/>
    </font>
    <font>
      <sz val="11"/>
      <color rgb="FF000000"/>
      <name val="Calibri"/>
      <family val="2"/>
    </font>
    <font>
      <sz val="10"/>
      <name val="Arial"/>
      <family val="2"/>
    </font>
    <font>
      <b/>
      <sz val="11"/>
      <color rgb="FF000000"/>
      <name val="Calibri"/>
      <family val="2"/>
    </font>
    <font>
      <sz val="11"/>
      <color indexed="8"/>
      <name val="Calibri"/>
      <family val="2"/>
    </font>
    <font>
      <sz val="10"/>
      <name val="Arial Cyr"/>
    </font>
    <font>
      <sz val="11"/>
      <color rgb="FF000000"/>
      <name val="Calibri"/>
      <family val="2"/>
      <scheme val="minor"/>
    </font>
    <font>
      <b/>
      <sz val="11"/>
      <color indexed="8"/>
      <name val="Calibri"/>
      <family val="2"/>
      <scheme val="minor"/>
    </font>
    <font>
      <sz val="11"/>
      <color indexed="8"/>
      <name val="Calibri"/>
      <family val="2"/>
      <scheme val="minor"/>
    </font>
    <font>
      <b/>
      <sz val="11"/>
      <name val="Calibri"/>
      <family val="2"/>
      <scheme val="minor"/>
    </font>
    <font>
      <sz val="11"/>
      <name val="Calibri"/>
      <family val="2"/>
      <scheme val="minor"/>
    </font>
    <font>
      <sz val="10"/>
      <name val="Calibri"/>
      <family val="2"/>
      <scheme val="minor"/>
    </font>
    <font>
      <b/>
      <sz val="9"/>
      <color indexed="81"/>
      <name val="Tahoma"/>
      <family val="2"/>
    </font>
    <font>
      <sz val="9"/>
      <color indexed="81"/>
      <name val="Tahoma"/>
      <family val="2"/>
    </font>
    <font>
      <b/>
      <sz val="11"/>
      <name val="Calibri"/>
      <family val="2"/>
    </font>
    <font>
      <sz val="11"/>
      <color rgb="FFFF0000"/>
      <name val="Calibri"/>
      <family val="2"/>
    </font>
    <font>
      <sz val="12"/>
      <color rgb="FF000000"/>
      <name val="Calibri"/>
      <family val="2"/>
    </font>
    <font>
      <u/>
      <sz val="11"/>
      <color rgb="FF000000"/>
      <name val="Calibri"/>
      <family val="2"/>
    </font>
    <font>
      <u/>
      <sz val="11"/>
      <color theme="10"/>
      <name val="Calibri"/>
      <family val="2"/>
    </font>
    <font>
      <b/>
      <sz val="11"/>
      <color indexed="8"/>
      <name val="Calibri"/>
      <family val="2"/>
    </font>
    <font>
      <sz val="11"/>
      <color theme="10"/>
      <name val="Calibri"/>
      <family val="2"/>
    </font>
    <font>
      <b/>
      <sz val="11"/>
      <color theme="10"/>
      <name val="Calibri"/>
      <family val="2"/>
    </font>
    <font>
      <b/>
      <sz val="18"/>
      <color theme="3"/>
      <name val="Calibri"/>
      <family val="2"/>
      <scheme val="major"/>
    </font>
    <font>
      <sz val="11"/>
      <color theme="1"/>
      <name val="Arial"/>
      <family val="2"/>
    </font>
    <font>
      <sz val="11"/>
      <color indexed="9"/>
      <name val="Calibri"/>
      <family val="2"/>
    </font>
    <font>
      <sz val="10"/>
      <color rgb="FF000000"/>
      <name val="Arial"/>
      <family val="2"/>
    </font>
    <font>
      <sz val="11"/>
      <color theme="1"/>
      <name val="Times New Roman"/>
      <family val="2"/>
    </font>
    <font>
      <b/>
      <sz val="11"/>
      <color theme="1"/>
      <name val="Calibri"/>
      <family val="2"/>
      <scheme val="minor"/>
    </font>
    <font>
      <i/>
      <sz val="11"/>
      <color rgb="FF000000"/>
      <name val="Calibri"/>
      <family val="2"/>
    </font>
    <font>
      <sz val="11"/>
      <color rgb="FF001D4F"/>
      <name val="Calibri"/>
      <family val="2"/>
    </font>
    <font>
      <i/>
      <sz val="10"/>
      <color rgb="FF000000"/>
      <name val="Calibri"/>
      <family val="2"/>
    </font>
    <font>
      <b/>
      <vertAlign val="subscript"/>
      <sz val="11"/>
      <color rgb="FF000000"/>
      <name val="Calibri"/>
      <family val="2"/>
    </font>
    <font>
      <vertAlign val="subscript"/>
      <sz val="11"/>
      <color rgb="FF000000"/>
      <name val="Calibri"/>
      <family val="2"/>
    </font>
    <font>
      <b/>
      <sz val="11"/>
      <color theme="0" tint="-0.34998626667073579"/>
      <name val="Calibri"/>
      <family val="2"/>
      <scheme val="minor"/>
    </font>
    <font>
      <u/>
      <sz val="11"/>
      <name val="Calibri"/>
      <family val="2"/>
    </font>
    <font>
      <b/>
      <vertAlign val="subscript"/>
      <sz val="11"/>
      <color rgb="FF000098"/>
      <name val="Calibri"/>
      <family val="2"/>
    </font>
    <font>
      <b/>
      <sz val="11"/>
      <color rgb="FFFF0000"/>
      <name val="Calibri"/>
      <family val="2"/>
    </font>
    <font>
      <b/>
      <sz val="16"/>
      <color rgb="FF000000"/>
      <name val="Calibri"/>
      <family val="2"/>
    </font>
    <font>
      <b/>
      <sz val="11"/>
      <color rgb="FF000098"/>
      <name val="Aptos Narrow"/>
      <family val="2"/>
    </font>
    <font>
      <b/>
      <u/>
      <sz val="16"/>
      <color rgb="FF000000"/>
      <name val="Calibri"/>
      <family val="2"/>
    </font>
  </fonts>
  <fills count="17">
    <fill>
      <patternFill patternType="none"/>
    </fill>
    <fill>
      <patternFill patternType="gray125"/>
    </fill>
    <fill>
      <patternFill patternType="solid">
        <fgColor rgb="FF1B429A"/>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6" tint="0.39994506668294322"/>
        <bgColor indexed="64"/>
      </patternFill>
    </fill>
    <fill>
      <patternFill patternType="solid">
        <fgColor theme="9" tint="0.59996337778862885"/>
        <bgColor indexed="64"/>
      </patternFill>
    </fill>
    <fill>
      <patternFill patternType="solid">
        <fgColor indexed="9"/>
        <bgColor indexed="64"/>
      </patternFill>
    </fill>
    <fill>
      <patternFill patternType="solid">
        <fgColor theme="0"/>
        <bgColor indexed="64"/>
      </patternFill>
    </fill>
    <fill>
      <patternFill patternType="solid">
        <fgColor theme="7" tint="0.79998168889431442"/>
        <bgColor indexed="64"/>
      </patternFill>
    </fill>
    <fill>
      <patternFill patternType="solid">
        <fgColor indexed="30"/>
      </patternFill>
    </fill>
    <fill>
      <patternFill patternType="solid">
        <fgColor theme="8" tint="0.39994506668294322"/>
        <bgColor indexed="64"/>
      </patternFill>
    </fill>
    <fill>
      <patternFill patternType="solid">
        <fgColor theme="2" tint="-9.9948118533890809E-2"/>
        <bgColor indexed="64"/>
      </patternFill>
    </fill>
    <fill>
      <patternFill patternType="solid">
        <fgColor theme="5" tint="0.79998168889431442"/>
        <bgColor indexed="64"/>
      </patternFill>
    </fill>
    <fill>
      <patternFill patternType="solid">
        <fgColor rgb="FFFFC000"/>
        <bgColor indexed="64"/>
      </patternFill>
    </fill>
  </fills>
  <borders count="20">
    <border>
      <left/>
      <right/>
      <top/>
      <bottom/>
      <diagonal/>
    </border>
    <border>
      <left/>
      <right/>
      <top/>
      <bottom style="thick">
        <color rgb="FF6AB0E0"/>
      </bottom>
      <diagonal/>
    </border>
    <border>
      <left/>
      <right/>
      <top/>
      <bottom style="medium">
        <color rgb="FF6AB0E0"/>
      </bottom>
      <diagonal/>
    </border>
    <border>
      <left/>
      <right/>
      <top/>
      <bottom style="medium">
        <color theme="7" tint="-0.499984740745262"/>
      </bottom>
      <diagonal/>
    </border>
    <border>
      <left/>
      <right/>
      <top/>
      <bottom style="thin">
        <color theme="7" tint="-0.499984740745262"/>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s>
  <cellStyleXfs count="67">
    <xf numFmtId="0" fontId="0" fillId="0" borderId="0"/>
    <xf numFmtId="3" fontId="4" fillId="5" borderId="0" applyNumberFormat="0" applyBorder="0"/>
    <xf numFmtId="3" fontId="4" fillId="4" borderId="0" applyNumberFormat="0" applyBorder="0">
      <protection locked="0"/>
    </xf>
    <xf numFmtId="3" fontId="4" fillId="3" borderId="0" applyNumberFormat="0" applyBorder="0"/>
    <xf numFmtId="0" fontId="7" fillId="2" borderId="1"/>
    <xf numFmtId="0" fontId="9" fillId="0" borderId="1"/>
    <xf numFmtId="0" fontId="11" fillId="6" borderId="4"/>
    <xf numFmtId="0" fontId="5" fillId="0" borderId="0"/>
    <xf numFmtId="0" fontId="6" fillId="0" borderId="0"/>
    <xf numFmtId="0" fontId="10" fillId="0" borderId="3"/>
    <xf numFmtId="0" fontId="8" fillId="0" borderId="2"/>
    <xf numFmtId="3" fontId="4" fillId="7" borderId="0" applyNumberFormat="0" applyBorder="0"/>
    <xf numFmtId="0" fontId="4" fillId="8" borderId="0" applyNumberFormat="0" applyBorder="0">
      <protection locked="0"/>
    </xf>
    <xf numFmtId="0" fontId="3" fillId="0" borderId="0"/>
    <xf numFmtId="0" fontId="13" fillId="0" borderId="0"/>
    <xf numFmtId="0" fontId="12" fillId="0" borderId="0"/>
    <xf numFmtId="43" fontId="12" fillId="0" borderId="0" applyFont="0" applyFill="0" applyBorder="0" applyAlignment="0" applyProtection="0"/>
    <xf numFmtId="0" fontId="12" fillId="0" borderId="0"/>
    <xf numFmtId="0" fontId="15" fillId="0" borderId="0"/>
    <xf numFmtId="0" fontId="16" fillId="0" borderId="0"/>
    <xf numFmtId="43" fontId="3" fillId="0" borderId="0" applyFont="0" applyFill="0" applyBorder="0" applyAlignment="0" applyProtection="0"/>
    <xf numFmtId="0" fontId="4" fillId="8" borderId="0" applyBorder="0">
      <protection locked="0"/>
    </xf>
    <xf numFmtId="43" fontId="12" fillId="0" borderId="0" applyFont="0" applyFill="0" applyBorder="0" applyAlignment="0" applyProtection="0"/>
    <xf numFmtId="9" fontId="12" fillId="0" borderId="0" applyFont="0" applyFill="0" applyBorder="0" applyAlignment="0" applyProtection="0"/>
    <xf numFmtId="0" fontId="2" fillId="0" borderId="0"/>
    <xf numFmtId="9" fontId="2" fillId="0" borderId="0" applyFont="0" applyFill="0" applyBorder="0" applyAlignment="0" applyProtection="0"/>
    <xf numFmtId="0" fontId="29" fillId="0" borderId="0" applyNumberFormat="0" applyFill="0" applyBorder="0" applyAlignment="0" applyProtection="0"/>
    <xf numFmtId="0" fontId="13" fillId="0" borderId="0"/>
    <xf numFmtId="0" fontId="34" fillId="0" borderId="0"/>
    <xf numFmtId="0" fontId="13" fillId="0" borderId="0"/>
    <xf numFmtId="0" fontId="34" fillId="0" borderId="0"/>
    <xf numFmtId="0" fontId="35" fillId="12" borderId="0" applyNumberFormat="0" applyBorder="0" applyAlignment="0" applyProtection="0"/>
    <xf numFmtId="43" fontId="1" fillId="0" borderId="0" applyFont="0" applyFill="0" applyBorder="0" applyAlignment="0" applyProtection="0"/>
    <xf numFmtId="0" fontId="22" fillId="13" borderId="0" applyNumberFormat="0" applyBorder="0" applyAlignment="0" applyProtection="0"/>
    <xf numFmtId="0" fontId="13"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21" fillId="0" borderId="0"/>
    <xf numFmtId="0" fontId="13" fillId="0" borderId="0"/>
    <xf numFmtId="0" fontId="13" fillId="0" borderId="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0" fontId="22" fillId="14" borderId="0" applyBorder="0" applyAlignment="0" applyProtection="0"/>
    <xf numFmtId="0" fontId="33" fillId="0" borderId="0" applyNumberFormat="0" applyFill="0" applyBorder="0" applyAlignment="0" applyProtection="0"/>
  </cellStyleXfs>
  <cellXfs count="200">
    <xf numFmtId="0" fontId="0" fillId="0" borderId="0" xfId="0"/>
    <xf numFmtId="0" fontId="3" fillId="0" borderId="0" xfId="13"/>
    <xf numFmtId="0" fontId="9" fillId="0" borderId="1" xfId="5" applyAlignment="1">
      <alignment wrapText="1"/>
    </xf>
    <xf numFmtId="0" fontId="12" fillId="0" borderId="0" xfId="17"/>
    <xf numFmtId="0" fontId="12" fillId="0" borderId="0" xfId="17" applyAlignment="1">
      <alignment wrapText="1"/>
    </xf>
    <xf numFmtId="0" fontId="12" fillId="10" borderId="0" xfId="17" applyFill="1"/>
    <xf numFmtId="0" fontId="14" fillId="0" borderId="0" xfId="17" applyFont="1"/>
    <xf numFmtId="0" fontId="9" fillId="10" borderId="1" xfId="5" applyFill="1" applyAlignment="1">
      <alignment wrapText="1"/>
    </xf>
    <xf numFmtId="0" fontId="4" fillId="4" borderId="5" xfId="2" applyNumberFormat="1" applyBorder="1" applyAlignment="1">
      <alignment vertical="center"/>
      <protection locked="0"/>
    </xf>
    <xf numFmtId="0" fontId="25" fillId="4" borderId="5" xfId="2" applyNumberFormat="1" applyFont="1" applyBorder="1" applyAlignment="1">
      <alignment vertical="center"/>
      <protection locked="0"/>
    </xf>
    <xf numFmtId="0" fontId="4" fillId="0" borderId="0" xfId="17" applyFont="1"/>
    <xf numFmtId="43" fontId="4" fillId="10" borderId="0" xfId="20" applyFont="1" applyFill="1"/>
    <xf numFmtId="0" fontId="4" fillId="0" borderId="0" xfId="17" applyFont="1" applyAlignment="1">
      <alignment wrapText="1"/>
    </xf>
    <xf numFmtId="43" fontId="4" fillId="4" borderId="5" xfId="22" applyFont="1" applyFill="1" applyBorder="1" applyAlignment="1" applyProtection="1">
      <alignment vertical="center"/>
      <protection locked="0"/>
    </xf>
    <xf numFmtId="43" fontId="4" fillId="0" borderId="0" xfId="22" applyFont="1" applyAlignment="1">
      <alignment wrapText="1"/>
    </xf>
    <xf numFmtId="43" fontId="4" fillId="0" borderId="0" xfId="22" applyFont="1" applyAlignment="1">
      <alignment vertical="center" wrapText="1"/>
    </xf>
    <xf numFmtId="43" fontId="26" fillId="4" borderId="5" xfId="22" applyFont="1" applyFill="1" applyBorder="1" applyAlignment="1" applyProtection="1">
      <alignment vertical="center"/>
      <protection locked="0"/>
    </xf>
    <xf numFmtId="43" fontId="25" fillId="4" borderId="5" xfId="22" applyFont="1" applyFill="1" applyBorder="1" applyAlignment="1" applyProtection="1">
      <alignment vertical="center"/>
      <protection locked="0"/>
    </xf>
    <xf numFmtId="43" fontId="12" fillId="0" borderId="0" xfId="22" applyFont="1"/>
    <xf numFmtId="0" fontId="14" fillId="0" borderId="0" xfId="0" applyFont="1" applyAlignment="1">
      <alignment vertical="top"/>
    </xf>
    <xf numFmtId="0" fontId="27" fillId="0" borderId="0" xfId="0" applyFont="1" applyAlignment="1">
      <alignment horizontal="left" vertical="top" wrapText="1"/>
    </xf>
    <xf numFmtId="0" fontId="27" fillId="0" borderId="0" xfId="0" applyFont="1" applyAlignment="1">
      <alignment vertical="top"/>
    </xf>
    <xf numFmtId="0" fontId="28" fillId="0" borderId="0" xfId="0" applyFont="1"/>
    <xf numFmtId="176" fontId="0" fillId="0" borderId="0" xfId="0" quotePrefix="1" applyNumberFormat="1" applyAlignment="1">
      <alignment horizontal="left"/>
    </xf>
    <xf numFmtId="0" fontId="14" fillId="0" borderId="0" xfId="0" applyFont="1"/>
    <xf numFmtId="0" fontId="29" fillId="0" borderId="0" xfId="26"/>
    <xf numFmtId="0" fontId="0" fillId="0" borderId="6" xfId="0" applyBorder="1"/>
    <xf numFmtId="0" fontId="25" fillId="4" borderId="6" xfId="2" applyNumberFormat="1" applyFont="1" applyBorder="1" applyAlignment="1">
      <alignment vertical="center"/>
      <protection locked="0"/>
    </xf>
    <xf numFmtId="9" fontId="25" fillId="0" borderId="6" xfId="0" applyNumberFormat="1" applyFont="1" applyBorder="1" applyAlignment="1">
      <alignment horizontal="center"/>
    </xf>
    <xf numFmtId="4" fontId="30" fillId="0" borderId="0" xfId="17" applyNumberFormat="1" applyFont="1" applyAlignment="1">
      <alignment horizontal="right" vertical="top"/>
    </xf>
    <xf numFmtId="4" fontId="9" fillId="0" borderId="1" xfId="5" applyNumberFormat="1" applyAlignment="1">
      <alignment wrapText="1"/>
    </xf>
    <xf numFmtId="4" fontId="12" fillId="0" borderId="0" xfId="17" applyNumberFormat="1" applyAlignment="1">
      <alignment wrapText="1"/>
    </xf>
    <xf numFmtId="4" fontId="4" fillId="0" borderId="0" xfId="17" applyNumberFormat="1" applyFont="1" applyAlignment="1">
      <alignment wrapText="1"/>
    </xf>
    <xf numFmtId="0" fontId="0" fillId="11" borderId="6" xfId="0" applyFill="1" applyBorder="1"/>
    <xf numFmtId="0" fontId="0" fillId="10" borderId="11" xfId="0" applyFill="1" applyBorder="1" applyAlignment="1">
      <alignment horizontal="left"/>
    </xf>
    <xf numFmtId="0" fontId="0" fillId="10" borderId="12" xfId="0" applyFill="1" applyBorder="1" applyAlignment="1">
      <alignment horizontal="left"/>
    </xf>
    <xf numFmtId="0" fontId="0" fillId="10" borderId="13" xfId="0" applyFill="1" applyBorder="1" applyAlignment="1">
      <alignment horizontal="left"/>
    </xf>
    <xf numFmtId="43" fontId="4" fillId="11" borderId="5" xfId="22" applyFont="1" applyFill="1" applyBorder="1" applyAlignment="1" applyProtection="1">
      <alignment vertical="center" wrapText="1"/>
      <protection locked="0"/>
    </xf>
    <xf numFmtId="0" fontId="31" fillId="4" borderId="6" xfId="26" applyFont="1" applyFill="1" applyBorder="1" applyAlignment="1"/>
    <xf numFmtId="0" fontId="14" fillId="15" borderId="6" xfId="0" applyFont="1" applyFill="1" applyBorder="1" applyAlignment="1">
      <alignment wrapText="1"/>
    </xf>
    <xf numFmtId="1" fontId="0" fillId="0" borderId="0" xfId="0" applyNumberFormat="1"/>
    <xf numFmtId="164" fontId="0" fillId="0" borderId="0" xfId="0" applyNumberFormat="1"/>
    <xf numFmtId="0" fontId="18" fillId="0" borderId="0" xfId="28" applyFont="1"/>
    <xf numFmtId="0" fontId="19" fillId="0" borderId="0" xfId="28" applyFont="1"/>
    <xf numFmtId="0" fontId="17" fillId="0" borderId="0" xfId="0" applyFont="1"/>
    <xf numFmtId="0" fontId="0" fillId="10" borderId="8" xfId="0" applyFill="1" applyBorder="1" applyAlignment="1">
      <alignment horizontal="left"/>
    </xf>
    <xf numFmtId="0" fontId="0" fillId="10" borderId="9" xfId="0" applyFill="1" applyBorder="1" applyAlignment="1">
      <alignment horizontal="left"/>
    </xf>
    <xf numFmtId="0" fontId="0" fillId="10" borderId="10" xfId="0" applyFill="1" applyBorder="1" applyAlignment="1">
      <alignment horizontal="left"/>
    </xf>
    <xf numFmtId="0" fontId="40" fillId="4" borderId="6" xfId="26" applyFont="1" applyFill="1" applyBorder="1" applyAlignment="1"/>
    <xf numFmtId="0" fontId="29" fillId="0" borderId="0" xfId="26" applyAlignment="1">
      <alignment horizontal="center"/>
    </xf>
    <xf numFmtId="0" fontId="41" fillId="0" borderId="0" xfId="0" applyFont="1"/>
    <xf numFmtId="0" fontId="25" fillId="0" borderId="0" xfId="26" applyFont="1" applyFill="1" applyBorder="1" applyAlignment="1"/>
    <xf numFmtId="0" fontId="29" fillId="0" borderId="0" xfId="26" applyAlignment="1">
      <alignment horizontal="left" vertical="center"/>
    </xf>
    <xf numFmtId="0" fontId="29" fillId="0" borderId="0" xfId="26" applyFill="1"/>
    <xf numFmtId="0" fontId="39" fillId="0" borderId="0" xfId="0" applyFont="1"/>
    <xf numFmtId="0" fontId="0" fillId="0" borderId="0" xfId="0" applyAlignment="1">
      <alignment horizontal="left"/>
    </xf>
    <xf numFmtId="0" fontId="0" fillId="0" borderId="0" xfId="0" applyAlignment="1">
      <alignment vertical="center"/>
    </xf>
    <xf numFmtId="0" fontId="14" fillId="0" borderId="0" xfId="0" applyFont="1" applyAlignment="1">
      <alignment vertical="center"/>
    </xf>
    <xf numFmtId="0" fontId="12" fillId="0" borderId="0" xfId="0" applyFont="1"/>
    <xf numFmtId="0" fontId="4" fillId="0" borderId="0" xfId="0" applyFont="1"/>
    <xf numFmtId="4" fontId="0" fillId="11" borderId="6" xfId="0" applyNumberFormat="1" applyFill="1" applyBorder="1" applyAlignment="1">
      <alignment horizontal="center"/>
    </xf>
    <xf numFmtId="173" fontId="0" fillId="11" borderId="6" xfId="0" applyNumberFormat="1" applyFill="1" applyBorder="1" applyAlignment="1">
      <alignment horizontal="center"/>
    </xf>
    <xf numFmtId="9" fontId="4" fillId="4" borderId="6" xfId="2" applyNumberFormat="1" applyBorder="1" applyAlignment="1">
      <alignment horizontal="center" vertical="center"/>
      <protection locked="0"/>
    </xf>
    <xf numFmtId="2" fontId="4" fillId="4" borderId="6" xfId="2" applyNumberFormat="1" applyBorder="1" applyAlignment="1">
      <alignment horizontal="center" vertical="center"/>
      <protection locked="0"/>
    </xf>
    <xf numFmtId="0" fontId="14" fillId="15" borderId="6" xfId="0" applyFont="1" applyFill="1" applyBorder="1" applyAlignment="1">
      <alignment vertical="center" wrapText="1"/>
    </xf>
    <xf numFmtId="0" fontId="14" fillId="15" borderId="6" xfId="0" applyFont="1" applyFill="1" applyBorder="1" applyAlignment="1">
      <alignment horizontal="center" vertical="center" wrapText="1"/>
    </xf>
    <xf numFmtId="174" fontId="0" fillId="0" borderId="6" xfId="0" applyNumberFormat="1" applyBorder="1" applyAlignment="1">
      <alignment horizontal="center" vertical="center"/>
    </xf>
    <xf numFmtId="1" fontId="0" fillId="0" borderId="6" xfId="0" applyNumberFormat="1" applyBorder="1" applyAlignment="1">
      <alignment horizontal="center" vertical="center"/>
    </xf>
    <xf numFmtId="0" fontId="32" fillId="0" borderId="6" xfId="26" applyFont="1" applyFill="1" applyBorder="1" applyAlignment="1"/>
    <xf numFmtId="173" fontId="4" fillId="11" borderId="6" xfId="0" applyNumberFormat="1" applyFont="1" applyFill="1" applyBorder="1" applyAlignment="1">
      <alignment horizontal="center"/>
    </xf>
    <xf numFmtId="9" fontId="4" fillId="11" borderId="6" xfId="0" applyNumberFormat="1" applyFont="1" applyFill="1" applyBorder="1" applyAlignment="1">
      <alignment horizontal="center"/>
    </xf>
    <xf numFmtId="0" fontId="3" fillId="4" borderId="0" xfId="13" applyFill="1"/>
    <xf numFmtId="0" fontId="0" fillId="16" borderId="6" xfId="0" applyFill="1" applyBorder="1"/>
    <xf numFmtId="173" fontId="14" fillId="0" borderId="18" xfId="0" applyNumberFormat="1" applyFont="1" applyBorder="1" applyAlignment="1">
      <alignment horizontal="center"/>
    </xf>
    <xf numFmtId="173" fontId="14" fillId="11" borderId="19" xfId="0" applyNumberFormat="1" applyFont="1" applyFill="1" applyBorder="1" applyAlignment="1">
      <alignment horizontal="center"/>
    </xf>
    <xf numFmtId="0" fontId="29" fillId="11" borderId="6" xfId="26" applyFill="1" applyBorder="1" applyAlignment="1">
      <alignment vertical="center"/>
    </xf>
    <xf numFmtId="170" fontId="20" fillId="0" borderId="6" xfId="19" applyNumberFormat="1" applyFont="1" applyBorder="1" applyAlignment="1">
      <alignment horizontal="center" vertical="top"/>
    </xf>
    <xf numFmtId="0" fontId="20" fillId="0" borderId="6" xfId="19" applyFont="1" applyBorder="1" applyAlignment="1">
      <alignment horizontal="center" vertical="top"/>
    </xf>
    <xf numFmtId="166" fontId="21" fillId="0" borderId="6" xfId="19" applyNumberFormat="1" applyFont="1" applyBorder="1" applyAlignment="1">
      <alignment horizontal="center" vertical="top"/>
    </xf>
    <xf numFmtId="0" fontId="21" fillId="0" borderId="6" xfId="13" applyFont="1" applyBorder="1" applyAlignment="1">
      <alignment vertical="center" wrapText="1"/>
    </xf>
    <xf numFmtId="16" fontId="21" fillId="0" borderId="6" xfId="13" applyNumberFormat="1" applyFont="1" applyBorder="1" applyAlignment="1">
      <alignment vertical="center" wrapText="1"/>
    </xf>
    <xf numFmtId="17" fontId="21" fillId="0" borderId="6" xfId="13" applyNumberFormat="1" applyFont="1" applyBorder="1" applyAlignment="1">
      <alignment vertical="center" wrapText="1"/>
    </xf>
    <xf numFmtId="0" fontId="21" fillId="0" borderId="0" xfId="17" applyFont="1"/>
    <xf numFmtId="0" fontId="20" fillId="15" borderId="6" xfId="5" applyFont="1" applyFill="1" applyBorder="1" applyAlignment="1">
      <alignment wrapText="1"/>
    </xf>
    <xf numFmtId="0" fontId="20" fillId="15" borderId="6" xfId="5" applyFont="1" applyFill="1" applyBorder="1" applyAlignment="1">
      <alignment horizontal="center" wrapText="1"/>
    </xf>
    <xf numFmtId="0" fontId="20" fillId="9" borderId="0" xfId="18" applyFont="1" applyFill="1" applyAlignment="1">
      <alignment vertical="top"/>
    </xf>
    <xf numFmtId="0" fontId="21" fillId="0" borderId="6" xfId="18" applyFont="1" applyBorder="1" applyAlignment="1">
      <alignment vertical="top"/>
    </xf>
    <xf numFmtId="0" fontId="21" fillId="0" borderId="6" xfId="18" applyFont="1" applyBorder="1" applyAlignment="1">
      <alignment horizontal="center" vertical="top"/>
    </xf>
    <xf numFmtId="4" fontId="21" fillId="9" borderId="0" xfId="18" applyNumberFormat="1" applyFont="1" applyFill="1" applyAlignment="1">
      <alignment vertical="top"/>
    </xf>
    <xf numFmtId="166" fontId="21" fillId="0" borderId="6" xfId="18" applyNumberFormat="1" applyFont="1" applyBorder="1" applyAlignment="1">
      <alignment horizontal="center" vertical="top"/>
    </xf>
    <xf numFmtId="167" fontId="21" fillId="9" borderId="0" xfId="18" applyNumberFormat="1" applyFont="1" applyFill="1" applyAlignment="1">
      <alignment vertical="top"/>
    </xf>
    <xf numFmtId="3" fontId="21" fillId="0" borderId="6" xfId="18" applyNumberFormat="1" applyFont="1" applyBorder="1" applyAlignment="1">
      <alignment horizontal="center" vertical="top"/>
    </xf>
    <xf numFmtId="168" fontId="20" fillId="9" borderId="0" xfId="18" applyNumberFormat="1" applyFont="1" applyFill="1" applyAlignment="1">
      <alignment vertical="top"/>
    </xf>
    <xf numFmtId="165" fontId="21" fillId="0" borderId="6" xfId="18" applyNumberFormat="1" applyFont="1" applyBorder="1" applyAlignment="1">
      <alignment horizontal="center" vertical="top"/>
    </xf>
    <xf numFmtId="4" fontId="20" fillId="9" borderId="0" xfId="18" applyNumberFormat="1" applyFont="1" applyFill="1" applyAlignment="1">
      <alignment vertical="top"/>
    </xf>
    <xf numFmtId="0" fontId="21" fillId="9" borderId="0" xfId="18" applyFont="1" applyFill="1" applyAlignment="1">
      <alignment vertical="top"/>
    </xf>
    <xf numFmtId="165" fontId="21" fillId="9" borderId="0" xfId="18" applyNumberFormat="1" applyFont="1" applyFill="1" applyAlignment="1">
      <alignment vertical="top"/>
    </xf>
    <xf numFmtId="169" fontId="21" fillId="0" borderId="6" xfId="18" applyNumberFormat="1" applyFont="1" applyBorder="1" applyAlignment="1">
      <alignment horizontal="center" vertical="top"/>
    </xf>
    <xf numFmtId="164" fontId="21" fillId="0" borderId="6" xfId="18" applyNumberFormat="1" applyFont="1" applyBorder="1" applyAlignment="1">
      <alignment horizontal="center" vertical="top"/>
    </xf>
    <xf numFmtId="170" fontId="20" fillId="0" borderId="6" xfId="18" applyNumberFormat="1" applyFont="1" applyBorder="1" applyAlignment="1">
      <alignment horizontal="center" vertical="top"/>
    </xf>
    <xf numFmtId="4" fontId="21" fillId="0" borderId="6" xfId="18" applyNumberFormat="1" applyFont="1" applyBorder="1" applyAlignment="1">
      <alignment horizontal="center" vertical="top"/>
    </xf>
    <xf numFmtId="170" fontId="21" fillId="0" borderId="6" xfId="18" applyNumberFormat="1" applyFont="1" applyBorder="1" applyAlignment="1">
      <alignment horizontal="center" vertical="top"/>
    </xf>
    <xf numFmtId="171" fontId="21" fillId="0" borderId="6" xfId="18" applyNumberFormat="1" applyFont="1" applyBorder="1" applyAlignment="1">
      <alignment horizontal="center" vertical="top"/>
    </xf>
    <xf numFmtId="1" fontId="21" fillId="0" borderId="6" xfId="18" applyNumberFormat="1" applyFont="1" applyBorder="1" applyAlignment="1">
      <alignment horizontal="center" vertical="top"/>
    </xf>
    <xf numFmtId="172" fontId="21" fillId="0" borderId="6" xfId="18" applyNumberFormat="1" applyFont="1" applyBorder="1" applyAlignment="1">
      <alignment horizontal="center" vertical="top"/>
    </xf>
    <xf numFmtId="169" fontId="20" fillId="0" borderId="6" xfId="18" applyNumberFormat="1" applyFont="1" applyBorder="1" applyAlignment="1">
      <alignment horizontal="center" vertical="top"/>
    </xf>
    <xf numFmtId="166" fontId="20" fillId="9" borderId="0" xfId="18" applyNumberFormat="1" applyFont="1" applyFill="1" applyAlignment="1">
      <alignment vertical="top"/>
    </xf>
    <xf numFmtId="173" fontId="21" fillId="0" borderId="6" xfId="18" applyNumberFormat="1" applyFont="1" applyBorder="1" applyAlignment="1">
      <alignment horizontal="center" vertical="top"/>
    </xf>
    <xf numFmtId="174" fontId="21" fillId="0" borderId="6" xfId="18" applyNumberFormat="1" applyFont="1" applyBorder="1" applyAlignment="1">
      <alignment horizontal="center" vertical="top"/>
    </xf>
    <xf numFmtId="2" fontId="21" fillId="0" borderId="6" xfId="18" applyNumberFormat="1" applyFont="1" applyBorder="1" applyAlignment="1">
      <alignment horizontal="center" vertical="top"/>
    </xf>
    <xf numFmtId="175" fontId="21" fillId="0" borderId="6" xfId="18" applyNumberFormat="1" applyFont="1" applyBorder="1" applyAlignment="1">
      <alignment horizontal="center" vertical="top"/>
    </xf>
    <xf numFmtId="0" fontId="20" fillId="0" borderId="6" xfId="18" applyFont="1" applyBorder="1" applyAlignment="1">
      <alignment vertical="top"/>
    </xf>
    <xf numFmtId="0" fontId="20" fillId="0" borderId="0" xfId="18" applyFont="1" applyAlignment="1">
      <alignment vertical="top"/>
    </xf>
    <xf numFmtId="0" fontId="21" fillId="0" borderId="0" xfId="18" applyFont="1" applyAlignment="1">
      <alignment vertical="top"/>
    </xf>
    <xf numFmtId="165" fontId="21" fillId="0" borderId="0" xfId="18" applyNumberFormat="1" applyFont="1" applyAlignment="1">
      <alignment vertical="top"/>
    </xf>
    <xf numFmtId="0" fontId="21" fillId="0" borderId="0" xfId="17" applyFont="1" applyAlignment="1">
      <alignment horizontal="left"/>
    </xf>
    <xf numFmtId="0" fontId="21" fillId="10" borderId="6" xfId="17" applyFont="1" applyFill="1" applyBorder="1" applyAlignment="1">
      <alignment horizontal="left"/>
    </xf>
    <xf numFmtId="0" fontId="45" fillId="0" borderId="6" xfId="26" applyFont="1" applyBorder="1"/>
    <xf numFmtId="0" fontId="14" fillId="15" borderId="6" xfId="0" applyFont="1" applyFill="1" applyBorder="1"/>
    <xf numFmtId="0" fontId="0" fillId="15" borderId="6" xfId="0" applyFill="1" applyBorder="1"/>
    <xf numFmtId="0" fontId="44" fillId="15" borderId="6" xfId="0" applyFont="1" applyFill="1" applyBorder="1" applyAlignment="1">
      <alignment horizontal="center"/>
    </xf>
    <xf numFmtId="0" fontId="38" fillId="15" borderId="6" xfId="0" applyFont="1" applyFill="1" applyBorder="1" applyAlignment="1">
      <alignment horizontal="center"/>
    </xf>
    <xf numFmtId="0" fontId="0" fillId="0" borderId="6" xfId="0" applyBorder="1" applyAlignment="1">
      <alignment horizontal="center"/>
    </xf>
    <xf numFmtId="0" fontId="4" fillId="0" borderId="6" xfId="26" applyFont="1" applyFill="1" applyBorder="1" applyAlignment="1">
      <alignment wrapText="1"/>
    </xf>
    <xf numFmtId="0" fontId="0" fillId="4" borderId="0" xfId="0" applyFill="1"/>
    <xf numFmtId="0" fontId="14" fillId="4" borderId="0" xfId="0" applyFont="1" applyFill="1"/>
    <xf numFmtId="0" fontId="20" fillId="9" borderId="0" xfId="19" applyFont="1" applyFill="1"/>
    <xf numFmtId="0" fontId="20" fillId="0" borderId="0" xfId="19" applyFont="1"/>
    <xf numFmtId="0" fontId="20" fillId="10" borderId="0" xfId="18" applyFont="1" applyFill="1" applyAlignment="1">
      <alignment vertical="top"/>
    </xf>
    <xf numFmtId="0" fontId="20" fillId="0" borderId="0" xfId="10" applyFont="1" applyBorder="1"/>
    <xf numFmtId="0" fontId="21" fillId="0" borderId="0" xfId="10" applyFont="1" applyBorder="1"/>
    <xf numFmtId="0" fontId="21" fillId="0" borderId="0" xfId="14" applyFont="1"/>
    <xf numFmtId="0" fontId="0" fillId="0" borderId="0" xfId="0" applyAlignment="1">
      <alignment horizontal="left" vertical="top"/>
    </xf>
    <xf numFmtId="0" fontId="0" fillId="0" borderId="8" xfId="0" applyBorder="1"/>
    <xf numFmtId="0" fontId="0" fillId="0" borderId="10" xfId="0" applyBorder="1"/>
    <xf numFmtId="0" fontId="29" fillId="4" borderId="6" xfId="26" applyFill="1" applyBorder="1" applyAlignment="1">
      <alignment vertical="center"/>
    </xf>
    <xf numFmtId="0" fontId="29" fillId="15" borderId="6" xfId="26" applyFill="1" applyBorder="1" applyAlignment="1">
      <alignment vertical="center"/>
    </xf>
    <xf numFmtId="0" fontId="38" fillId="0" borderId="0" xfId="13" applyFont="1"/>
    <xf numFmtId="0" fontId="25" fillId="15" borderId="0" xfId="17" applyFont="1" applyFill="1"/>
    <xf numFmtId="43" fontId="25" fillId="15" borderId="0" xfId="20" applyFont="1" applyFill="1"/>
    <xf numFmtId="0" fontId="14" fillId="15" borderId="0" xfId="17" applyFont="1" applyFill="1"/>
    <xf numFmtId="0" fontId="25" fillId="15" borderId="0" xfId="17" applyFont="1" applyFill="1" applyAlignment="1">
      <alignment wrapText="1"/>
    </xf>
    <xf numFmtId="0" fontId="9" fillId="15" borderId="0" xfId="10" applyFont="1" applyFill="1" applyBorder="1" applyAlignment="1">
      <alignment vertical="center"/>
    </xf>
    <xf numFmtId="0" fontId="47" fillId="4" borderId="5" xfId="2" applyNumberFormat="1" applyFont="1" applyBorder="1" applyAlignment="1">
      <alignment vertical="center"/>
      <protection locked="0"/>
    </xf>
    <xf numFmtId="0" fontId="26" fillId="4" borderId="5" xfId="2" applyNumberFormat="1" applyFont="1" applyBorder="1" applyAlignment="1">
      <alignment vertical="center"/>
      <protection locked="0"/>
    </xf>
    <xf numFmtId="4" fontId="4" fillId="11" borderId="5" xfId="22" applyNumberFormat="1" applyFont="1" applyFill="1" applyBorder="1" applyAlignment="1" applyProtection="1">
      <alignment vertical="center"/>
      <protection locked="0"/>
    </xf>
    <xf numFmtId="4" fontId="4" fillId="0" borderId="0" xfId="22" applyNumberFormat="1" applyFont="1" applyAlignment="1"/>
    <xf numFmtId="4" fontId="4" fillId="0" borderId="0" xfId="22" applyNumberFormat="1" applyFont="1" applyAlignment="1">
      <alignment vertical="center"/>
    </xf>
    <xf numFmtId="4" fontId="14" fillId="11" borderId="6" xfId="17" applyNumberFormat="1" applyFont="1" applyFill="1" applyBorder="1" applyAlignment="1">
      <alignment wrapText="1"/>
    </xf>
    <xf numFmtId="0" fontId="48" fillId="0" borderId="0" xfId="0" applyFont="1" applyAlignment="1">
      <alignment vertical="top"/>
    </xf>
    <xf numFmtId="0" fontId="29" fillId="10" borderId="0" xfId="26" applyFill="1"/>
    <xf numFmtId="0" fontId="32" fillId="0" borderId="0" xfId="26" applyFont="1" applyFill="1" applyBorder="1" applyAlignment="1"/>
    <xf numFmtId="9" fontId="0" fillId="11" borderId="6" xfId="0" applyNumberFormat="1" applyFill="1" applyBorder="1" applyAlignment="1">
      <alignment horizontal="center"/>
    </xf>
    <xf numFmtId="0" fontId="25" fillId="4" borderId="6" xfId="2" applyNumberFormat="1" applyFont="1" applyBorder="1" applyAlignment="1">
      <alignment horizontal="right" vertical="center"/>
      <protection locked="0"/>
    </xf>
    <xf numFmtId="176" fontId="0" fillId="0" borderId="0" xfId="0" quotePrefix="1" applyNumberFormat="1" applyAlignment="1">
      <alignment horizontal="right"/>
    </xf>
    <xf numFmtId="0" fontId="25" fillId="0" borderId="0" xfId="0" applyFont="1"/>
    <xf numFmtId="43" fontId="12" fillId="0" borderId="0" xfId="17" applyNumberFormat="1" applyAlignment="1">
      <alignment wrapText="1"/>
    </xf>
    <xf numFmtId="4" fontId="4" fillId="4" borderId="5" xfId="22" applyNumberFormat="1" applyFont="1" applyFill="1" applyBorder="1" applyAlignment="1" applyProtection="1">
      <alignment vertical="center"/>
      <protection locked="0"/>
    </xf>
    <xf numFmtId="4" fontId="26" fillId="4" borderId="5" xfId="22" applyNumberFormat="1" applyFont="1" applyFill="1" applyBorder="1" applyAlignment="1" applyProtection="1">
      <alignment vertical="center"/>
      <protection locked="0"/>
    </xf>
    <xf numFmtId="4" fontId="4" fillId="4" borderId="5" xfId="22" applyNumberFormat="1" applyFont="1" applyFill="1" applyBorder="1" applyAlignment="1" applyProtection="1">
      <alignment vertical="center" wrapText="1"/>
      <protection locked="0"/>
    </xf>
    <xf numFmtId="4" fontId="4" fillId="0" borderId="0" xfId="22" applyNumberFormat="1" applyFont="1" applyAlignment="1">
      <alignment wrapText="1"/>
    </xf>
    <xf numFmtId="4" fontId="25" fillId="15" borderId="0" xfId="17" applyNumberFormat="1" applyFont="1" applyFill="1" applyAlignment="1">
      <alignment wrapText="1"/>
    </xf>
    <xf numFmtId="4" fontId="26" fillId="4" borderId="5" xfId="22" applyNumberFormat="1" applyFont="1" applyFill="1" applyBorder="1" applyAlignment="1" applyProtection="1">
      <alignment vertical="center" wrapText="1"/>
      <protection locked="0"/>
    </xf>
    <xf numFmtId="4" fontId="26" fillId="0" borderId="0" xfId="22" applyNumberFormat="1" applyFont="1" applyAlignment="1">
      <alignment wrapText="1"/>
    </xf>
    <xf numFmtId="4" fontId="47" fillId="15" borderId="0" xfId="17" applyNumberFormat="1" applyFont="1" applyFill="1" applyAlignment="1">
      <alignment wrapText="1"/>
    </xf>
    <xf numFmtId="4" fontId="4" fillId="10" borderId="0" xfId="22" applyNumberFormat="1" applyFont="1" applyFill="1"/>
    <xf numFmtId="4" fontId="4" fillId="0" borderId="0" xfId="22" applyNumberFormat="1" applyFont="1"/>
    <xf numFmtId="4" fontId="12" fillId="0" borderId="0" xfId="22" applyNumberFormat="1" applyFont="1"/>
    <xf numFmtId="4" fontId="25" fillId="15" borderId="0" xfId="20" applyNumberFormat="1" applyFont="1" applyFill="1"/>
    <xf numFmtId="4" fontId="25" fillId="15" borderId="0" xfId="17" applyNumberFormat="1" applyFont="1" applyFill="1"/>
    <xf numFmtId="4" fontId="14" fillId="15" borderId="0" xfId="17" applyNumberFormat="1" applyFont="1" applyFill="1"/>
    <xf numFmtId="173" fontId="0" fillId="0" borderId="6" xfId="0" applyNumberFormat="1" applyBorder="1" applyAlignment="1">
      <alignment horizontal="center"/>
    </xf>
    <xf numFmtId="0" fontId="45" fillId="0" borderId="6" xfId="26" applyFont="1" applyFill="1" applyBorder="1"/>
    <xf numFmtId="177" fontId="4" fillId="11" borderId="5" xfId="23" applyNumberFormat="1" applyFont="1" applyFill="1" applyBorder="1" applyAlignment="1" applyProtection="1">
      <alignment horizontal="center" vertical="center"/>
      <protection locked="0"/>
    </xf>
    <xf numFmtId="177" fontId="4" fillId="11" borderId="5" xfId="2" applyNumberFormat="1" applyFill="1" applyBorder="1" applyAlignment="1">
      <alignment horizontal="center" vertical="center"/>
      <protection locked="0"/>
    </xf>
    <xf numFmtId="4" fontId="4" fillId="0" borderId="0" xfId="22" applyNumberFormat="1" applyFont="1" applyAlignment="1">
      <alignment vertical="center" wrapText="1"/>
    </xf>
    <xf numFmtId="0" fontId="50" fillId="0" borderId="0" xfId="0" applyFont="1" applyAlignment="1">
      <alignment vertical="top"/>
    </xf>
    <xf numFmtId="0" fontId="0" fillId="15" borderId="6" xfId="0" applyFill="1" applyBorder="1" applyAlignment="1">
      <alignment horizontal="right"/>
    </xf>
    <xf numFmtId="0" fontId="0" fillId="0" borderId="7" xfId="0" applyBorder="1" applyAlignment="1">
      <alignment horizontal="left" vertical="top" wrapText="1"/>
    </xf>
    <xf numFmtId="0" fontId="0" fillId="0" borderId="0" xfId="0"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0" fillId="10" borderId="8" xfId="0" applyFill="1" applyBorder="1" applyAlignment="1">
      <alignment horizontal="left"/>
    </xf>
    <xf numFmtId="0" fontId="0" fillId="10" borderId="9" xfId="0" applyFill="1" applyBorder="1" applyAlignment="1">
      <alignment horizontal="left"/>
    </xf>
    <xf numFmtId="0" fontId="0" fillId="10" borderId="10" xfId="0" applyFill="1" applyBorder="1" applyAlignment="1">
      <alignment horizontal="left"/>
    </xf>
    <xf numFmtId="0" fontId="0" fillId="10" borderId="11" xfId="0" applyFill="1" applyBorder="1" applyAlignment="1">
      <alignment horizontal="left" vertical="center" wrapText="1"/>
    </xf>
    <xf numFmtId="0" fontId="0" fillId="10" borderId="12" xfId="0" applyFill="1" applyBorder="1" applyAlignment="1">
      <alignment horizontal="left" vertical="center"/>
    </xf>
    <xf numFmtId="0" fontId="0" fillId="10" borderId="13" xfId="0" applyFill="1" applyBorder="1" applyAlignment="1">
      <alignment horizontal="left" vertical="center"/>
    </xf>
    <xf numFmtId="0" fontId="0" fillId="10" borderId="7" xfId="0" applyFill="1" applyBorder="1" applyAlignment="1">
      <alignment horizontal="left" vertical="center"/>
    </xf>
    <xf numFmtId="0" fontId="0" fillId="10" borderId="0" xfId="0" applyFill="1" applyAlignment="1">
      <alignment horizontal="left" vertical="center"/>
    </xf>
    <xf numFmtId="0" fontId="0" fillId="10" borderId="14" xfId="0" applyFill="1" applyBorder="1" applyAlignment="1">
      <alignment horizontal="left" vertical="center"/>
    </xf>
    <xf numFmtId="0" fontId="0" fillId="10" borderId="15" xfId="0" applyFill="1" applyBorder="1" applyAlignment="1">
      <alignment horizontal="left" vertical="center"/>
    </xf>
    <xf numFmtId="0" fontId="0" fillId="10" borderId="16" xfId="0" applyFill="1" applyBorder="1" applyAlignment="1">
      <alignment horizontal="left" vertical="center"/>
    </xf>
    <xf numFmtId="0" fontId="0" fillId="10" borderId="17" xfId="0" applyFill="1" applyBorder="1" applyAlignment="1">
      <alignment horizontal="left" vertical="center"/>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9" xfId="0" applyBorder="1"/>
  </cellXfs>
  <cellStyles count="67">
    <cellStyle name="60% - Accent1 4 2" xfId="31" xr:uid="{00000000-0005-0000-0000-000000000000}"/>
    <cellStyle name="Calculation - 1" xfId="3" xr:uid="{00000000-0005-0000-0000-000001000000}"/>
    <cellStyle name="Calculation - 2" xfId="1" xr:uid="{00000000-0005-0000-0000-000002000000}"/>
    <cellStyle name="Calculation - 3" xfId="11" xr:uid="{00000000-0005-0000-0000-000003000000}"/>
    <cellStyle name="Comma" xfId="22" builtinId="3"/>
    <cellStyle name="Comma 141" xfId="32" xr:uid="{00000000-0005-0000-0000-000005000000}"/>
    <cellStyle name="Comma 2" xfId="20" xr:uid="{00000000-0005-0000-0000-000006000000}"/>
    <cellStyle name="Comma 5" xfId="16" xr:uid="{00000000-0005-0000-0000-000007000000}"/>
    <cellStyle name="Free Entry" xfId="2" xr:uid="{00000000-0005-0000-0000-000008000000}"/>
    <cellStyle name="Heading - 1" xfId="5" xr:uid="{00000000-0005-0000-0000-000009000000}"/>
    <cellStyle name="Heading - 2" xfId="9" xr:uid="{00000000-0005-0000-0000-00000A000000}"/>
    <cellStyle name="Hyperlink" xfId="26" builtinId="8"/>
    <cellStyle name="Linked Cell 2 8" xfId="33" xr:uid="{00000000-0005-0000-0000-00000C000000}"/>
    <cellStyle name="Listed Input" xfId="12" xr:uid="{00000000-0005-0000-0000-00000D000000}"/>
    <cellStyle name="Listed Input 2" xfId="21" xr:uid="{00000000-0005-0000-0000-00000E000000}"/>
    <cellStyle name="Named Range" xfId="8" xr:uid="{00000000-0005-0000-0000-00000F000000}"/>
    <cellStyle name="Normal" xfId="0" builtinId="0" customBuiltin="1"/>
    <cellStyle name="Normal - Style1 2" xfId="34" xr:uid="{00000000-0005-0000-0000-000011000000}"/>
    <cellStyle name="Normal 10 10" xfId="35" xr:uid="{00000000-0005-0000-0000-000012000000}"/>
    <cellStyle name="Normal 10 10 4" xfId="36" xr:uid="{00000000-0005-0000-0000-000013000000}"/>
    <cellStyle name="Normal 10 10 5" xfId="37" xr:uid="{00000000-0005-0000-0000-000014000000}"/>
    <cellStyle name="Normal 10 13" xfId="38" xr:uid="{00000000-0005-0000-0000-000015000000}"/>
    <cellStyle name="Normal 119" xfId="39" xr:uid="{00000000-0005-0000-0000-000016000000}"/>
    <cellStyle name="Normal 119 2" xfId="40" xr:uid="{00000000-0005-0000-0000-000017000000}"/>
    <cellStyle name="Normal 134 2 2" xfId="41" xr:uid="{00000000-0005-0000-0000-000018000000}"/>
    <cellStyle name="Normal 155 2" xfId="42" xr:uid="{00000000-0005-0000-0000-000019000000}"/>
    <cellStyle name="Normal 156" xfId="43" xr:uid="{00000000-0005-0000-0000-00001A000000}"/>
    <cellStyle name="Normal 157" xfId="44" xr:uid="{00000000-0005-0000-0000-00001B000000}"/>
    <cellStyle name="Normal 164" xfId="45" xr:uid="{00000000-0005-0000-0000-00001C000000}"/>
    <cellStyle name="Normal 165" xfId="46" xr:uid="{00000000-0005-0000-0000-00001D000000}"/>
    <cellStyle name="Normal 166" xfId="47" xr:uid="{00000000-0005-0000-0000-00001E000000}"/>
    <cellStyle name="Normal 167" xfId="48" xr:uid="{00000000-0005-0000-0000-00001F000000}"/>
    <cellStyle name="Normal 168" xfId="49" xr:uid="{00000000-0005-0000-0000-000020000000}"/>
    <cellStyle name="Normal 169" xfId="50" xr:uid="{00000000-0005-0000-0000-000021000000}"/>
    <cellStyle name="Normal 170" xfId="51" xr:uid="{00000000-0005-0000-0000-000022000000}"/>
    <cellStyle name="Normal 2" xfId="13" xr:uid="{00000000-0005-0000-0000-000023000000}"/>
    <cellStyle name="Normal 2 10" xfId="52" xr:uid="{00000000-0005-0000-0000-000024000000}"/>
    <cellStyle name="Normal 2 2" xfId="30" xr:uid="{00000000-0005-0000-0000-000025000000}"/>
    <cellStyle name="Normal 2 2 9 3" xfId="53" xr:uid="{00000000-0005-0000-0000-000026000000}"/>
    <cellStyle name="Normal 2 24" xfId="54" xr:uid="{00000000-0005-0000-0000-000027000000}"/>
    <cellStyle name="Normal 2 25" xfId="55" xr:uid="{00000000-0005-0000-0000-000028000000}"/>
    <cellStyle name="Normal 2 61" xfId="17" xr:uid="{00000000-0005-0000-0000-000029000000}"/>
    <cellStyle name="Normal 3" xfId="24" xr:uid="{00000000-0005-0000-0000-00002A000000}"/>
    <cellStyle name="Normal 3 2" xfId="56" xr:uid="{00000000-0005-0000-0000-00002B000000}"/>
    <cellStyle name="Normal 3 2 2" xfId="29" xr:uid="{00000000-0005-0000-0000-00002C000000}"/>
    <cellStyle name="Normal 4" xfId="14" xr:uid="{00000000-0005-0000-0000-00002D000000}"/>
    <cellStyle name="Normal 4 2" xfId="15" xr:uid="{00000000-0005-0000-0000-00002E000000}"/>
    <cellStyle name="Normal 5" xfId="28" xr:uid="{00000000-0005-0000-0000-00002F000000}"/>
    <cellStyle name="Normal 56" xfId="27" xr:uid="{00000000-0005-0000-0000-000030000000}"/>
    <cellStyle name="Normal 83" xfId="57" xr:uid="{00000000-0005-0000-0000-000031000000}"/>
    <cellStyle name="Normal_Conversion_gal and bbl_final1_updated" xfId="18" xr:uid="{00000000-0005-0000-0000-000032000000}"/>
    <cellStyle name="Normal_European Ethanol SD model_15_clean" xfId="19" xr:uid="{00000000-0005-0000-0000-000034000000}"/>
    <cellStyle name="Percent" xfId="23" builtinId="5"/>
    <cellStyle name="Percent 2" xfId="25" xr:uid="{00000000-0005-0000-0000-000036000000}"/>
    <cellStyle name="Percent 2 14" xfId="58" xr:uid="{00000000-0005-0000-0000-000037000000}"/>
    <cellStyle name="Percent 2 21 2" xfId="59" xr:uid="{00000000-0005-0000-0000-000038000000}"/>
    <cellStyle name="Percent 7 2 2 2 2" xfId="60" xr:uid="{00000000-0005-0000-0000-000039000000}"/>
    <cellStyle name="Percent 87" xfId="61" xr:uid="{00000000-0005-0000-0000-00003A000000}"/>
    <cellStyle name="Percent 90" xfId="62" xr:uid="{00000000-0005-0000-0000-00003B000000}"/>
    <cellStyle name="Percent 92" xfId="63" xr:uid="{00000000-0005-0000-0000-00003C000000}"/>
    <cellStyle name="Percent 98" xfId="64" xr:uid="{00000000-0005-0000-0000-00003D000000}"/>
    <cellStyle name="Reference" xfId="7" xr:uid="{00000000-0005-0000-0000-00003E000000}"/>
    <cellStyle name="Sheet Title" xfId="4" xr:uid="{00000000-0005-0000-0000-00003F000000}"/>
    <cellStyle name="Sub heading - 1" xfId="10" xr:uid="{00000000-0005-0000-0000-000040000000}"/>
    <cellStyle name="Sub heading - 2" xfId="6" xr:uid="{00000000-0005-0000-0000-000041000000}"/>
    <cellStyle name="Title 1" xfId="65" xr:uid="{00000000-0005-0000-0000-000042000000}"/>
    <cellStyle name="Title 3 2" xfId="66" xr:uid="{00000000-0005-0000-0000-000043000000}"/>
  </cellStyles>
  <dxfs count="48">
    <dxf>
      <fill>
        <patternFill>
          <bgColor rgb="FFFF0000"/>
        </patternFill>
      </fill>
    </dxf>
    <dxf>
      <fill>
        <patternFill>
          <bgColor rgb="FFFFC000"/>
        </patternFill>
      </fill>
    </dxf>
    <dxf>
      <fill>
        <patternFill patternType="solid">
          <fgColor theme="7" tint="0.59999389629810485"/>
          <bgColor theme="7" tint="0.59999389629810485"/>
        </patternFill>
      </fill>
    </dxf>
    <dxf>
      <fill>
        <patternFill patternType="solid">
          <fgColor theme="7" tint="0.59999389629810485"/>
          <bgColor theme="7" tint="0.59999389629810485"/>
        </patternFill>
      </fill>
    </dxf>
    <dxf>
      <font>
        <b/>
        <color theme="0"/>
      </font>
      <fill>
        <patternFill patternType="solid">
          <fgColor theme="7"/>
          <bgColor theme="7"/>
        </patternFill>
      </fill>
    </dxf>
    <dxf>
      <font>
        <b/>
        <color theme="0"/>
      </font>
      <fill>
        <patternFill patternType="solid">
          <fgColor theme="7"/>
          <bgColor theme="7"/>
        </patternFill>
      </fill>
    </dxf>
    <dxf>
      <font>
        <b/>
        <color theme="0"/>
      </font>
      <fill>
        <patternFill patternType="solid">
          <fgColor theme="7"/>
          <bgColor theme="7"/>
        </patternFill>
      </fill>
      <border>
        <top style="thick">
          <color theme="0"/>
        </top>
      </border>
    </dxf>
    <dxf>
      <font>
        <b/>
        <color theme="0"/>
      </font>
      <fill>
        <patternFill patternType="solid">
          <fgColor theme="7"/>
          <bgColor theme="7"/>
        </patternFill>
      </fill>
      <border>
        <bottom style="thick">
          <color theme="0"/>
        </bottom>
      </border>
    </dxf>
    <dxf>
      <font>
        <color theme="1"/>
      </font>
      <fill>
        <patternFill patternType="solid">
          <fgColor theme="7" tint="0.79998168889431442"/>
          <bgColor theme="7" tint="0.79998168889431442"/>
        </patternFill>
      </fill>
      <border>
        <vertical style="thin">
          <color theme="0"/>
        </vertical>
        <horizontal style="thin">
          <color theme="0"/>
        </horizontal>
      </border>
    </dxf>
    <dxf>
      <fill>
        <patternFill patternType="solid">
          <fgColor theme="6" tint="0.59999389629810485"/>
          <bgColor theme="6" tint="0.59999389629810485"/>
        </patternFill>
      </fill>
    </dxf>
    <dxf>
      <fill>
        <patternFill patternType="solid">
          <fgColor theme="6" tint="0.59999389629810485"/>
          <bgColor theme="6" tint="0.59999389629810485"/>
        </patternFill>
      </fill>
    </dxf>
    <dxf>
      <font>
        <b/>
        <color theme="0"/>
      </font>
      <fill>
        <patternFill patternType="solid">
          <fgColor theme="6"/>
          <bgColor theme="6"/>
        </patternFill>
      </fill>
    </dxf>
    <dxf>
      <font>
        <b/>
        <color theme="0"/>
      </font>
      <fill>
        <patternFill patternType="solid">
          <fgColor theme="6"/>
          <bgColor theme="6"/>
        </patternFill>
      </fill>
    </dxf>
    <dxf>
      <font>
        <b/>
        <color theme="0"/>
      </font>
      <fill>
        <patternFill patternType="solid">
          <fgColor theme="6"/>
          <bgColor theme="6"/>
        </patternFill>
      </fill>
      <border>
        <top style="thick">
          <color theme="0"/>
        </top>
      </border>
    </dxf>
    <dxf>
      <font>
        <b/>
        <color theme="0"/>
      </font>
      <fill>
        <patternFill patternType="solid">
          <fgColor theme="6"/>
          <bgColor theme="6"/>
        </patternFill>
      </fill>
      <border>
        <bottom style="thick">
          <color theme="0"/>
        </bottom>
      </border>
    </dxf>
    <dxf>
      <font>
        <color theme="1"/>
      </font>
      <fill>
        <patternFill patternType="solid">
          <fgColor theme="6" tint="0.79998168889431442"/>
          <bgColor theme="6" tint="0.79998168889431442"/>
        </patternFill>
      </fill>
      <border>
        <vertical style="thin">
          <color theme="0"/>
        </vertical>
        <horizontal style="thin">
          <color theme="0"/>
        </horizontal>
      </border>
    </dxf>
    <dxf>
      <fill>
        <patternFill patternType="solid">
          <fgColor theme="7" tint="0.79998168889431442"/>
          <bgColor theme="7" tint="0.79998168889431442"/>
        </patternFill>
      </fill>
    </dxf>
    <dxf>
      <fill>
        <patternFill patternType="solid">
          <fgColor theme="7" tint="0.79995117038483843"/>
          <bgColor theme="7" tint="0.59996337778862885"/>
        </patternFill>
      </fill>
    </dxf>
    <dxf>
      <font>
        <b/>
        <color theme="7" tint="-0.249977111117893"/>
      </font>
    </dxf>
    <dxf>
      <font>
        <b/>
        <color theme="7" tint="-0.249977111117893"/>
      </font>
    </dxf>
    <dxf>
      <font>
        <b/>
        <color theme="7" tint="-0.249977111117893"/>
      </font>
      <border>
        <top style="thin">
          <color theme="7"/>
        </top>
      </border>
    </dxf>
    <dxf>
      <font>
        <b/>
        <i val="0"/>
        <color theme="7" tint="-0.499984740745262"/>
      </font>
      <border>
        <bottom style="thin">
          <color theme="7"/>
        </bottom>
      </border>
    </dxf>
    <dxf>
      <font>
        <color theme="7" tint="-0.499984740745262"/>
      </font>
      <border>
        <top style="thin">
          <color theme="7"/>
        </top>
        <bottom style="thin">
          <color theme="7"/>
        </bottom>
      </border>
    </dxf>
    <dxf>
      <fill>
        <patternFill patternType="solid">
          <fgColor theme="6" tint="0.79998168889431442"/>
          <bgColor theme="6" tint="0.79998168889431442"/>
        </patternFill>
      </fill>
    </dxf>
    <dxf>
      <fill>
        <patternFill patternType="solid">
          <fgColor theme="6" tint="0.79995117038483843"/>
          <bgColor theme="6" tint="0.59996337778862885"/>
        </patternFill>
      </fill>
    </dxf>
    <dxf>
      <font>
        <b/>
        <color theme="6" tint="-0.249977111117893"/>
      </font>
    </dxf>
    <dxf>
      <font>
        <b/>
        <color theme="6" tint="-0.249977111117893"/>
      </font>
    </dxf>
    <dxf>
      <font>
        <b/>
        <color theme="6" tint="-0.249977111117893"/>
      </font>
      <border>
        <top style="thin">
          <color theme="6"/>
        </top>
      </border>
    </dxf>
    <dxf>
      <font>
        <b/>
        <i val="0"/>
        <color theme="5"/>
      </font>
      <border>
        <bottom style="thin">
          <color theme="6"/>
        </bottom>
      </border>
    </dxf>
    <dxf>
      <font>
        <color auto="1"/>
      </font>
      <border>
        <top style="thin">
          <color theme="6"/>
        </top>
        <bottom style="thin">
          <color theme="6"/>
        </bottom>
      </border>
    </dxf>
    <dxf>
      <border>
        <left style="thin">
          <color theme="7"/>
        </left>
      </border>
    </dxf>
    <dxf>
      <border>
        <left style="thin">
          <color theme="7"/>
        </left>
      </border>
    </dxf>
    <dxf>
      <border>
        <top style="thin">
          <color theme="7"/>
        </top>
      </border>
    </dxf>
    <dxf>
      <border>
        <top style="thin">
          <color theme="7"/>
        </top>
      </border>
    </dxf>
    <dxf>
      <font>
        <b/>
        <color theme="1"/>
      </font>
    </dxf>
    <dxf>
      <font>
        <b/>
        <color theme="1"/>
      </font>
    </dxf>
    <dxf>
      <font>
        <b/>
        <color theme="1"/>
      </font>
      <border>
        <top style="double">
          <color theme="7"/>
        </top>
      </border>
    </dxf>
    <dxf>
      <font>
        <b/>
        <color theme="0"/>
      </font>
      <fill>
        <patternFill patternType="solid">
          <fgColor theme="7"/>
          <bgColor theme="7"/>
        </patternFill>
      </fill>
    </dxf>
    <dxf>
      <font>
        <color theme="1"/>
      </font>
      <border>
        <left style="thin">
          <color theme="7"/>
        </left>
        <right style="thin">
          <color theme="7"/>
        </right>
        <top style="thin">
          <color theme="7"/>
        </top>
        <bottom style="thin">
          <color theme="7"/>
        </bottom>
      </border>
    </dxf>
    <dxf>
      <border>
        <left style="thin">
          <color theme="6"/>
        </left>
      </border>
    </dxf>
    <dxf>
      <border>
        <left style="thin">
          <color theme="6"/>
        </left>
      </border>
    </dxf>
    <dxf>
      <border>
        <top style="thin">
          <color theme="6"/>
        </top>
      </border>
    </dxf>
    <dxf>
      <border>
        <top style="thin">
          <color theme="6"/>
        </top>
      </border>
    </dxf>
    <dxf>
      <font>
        <b/>
        <color theme="1"/>
      </font>
    </dxf>
    <dxf>
      <font>
        <b/>
        <color theme="1"/>
      </font>
    </dxf>
    <dxf>
      <font>
        <b/>
        <color theme="1"/>
      </font>
      <border>
        <top style="double">
          <color theme="6"/>
        </top>
      </border>
    </dxf>
    <dxf>
      <font>
        <b/>
        <i val="0"/>
        <color theme="0"/>
      </font>
      <fill>
        <patternFill patternType="solid">
          <fgColor theme="6"/>
          <bgColor theme="6"/>
        </patternFill>
      </fill>
    </dxf>
    <dxf>
      <font>
        <color theme="1"/>
      </font>
      <border>
        <left style="thin">
          <color theme="6"/>
        </left>
        <right style="thin">
          <color theme="6"/>
        </right>
        <top style="thin">
          <color theme="6"/>
        </top>
        <bottom style="thin">
          <color theme="6"/>
        </bottom>
      </border>
    </dxf>
  </dxfs>
  <tableStyles count="6" defaultTableStyle="TableStyleMedium2" defaultPivotStyle="PivotStyleLight16">
    <tableStyle name="E4tech Table Style_1" pivot="0" count="9" xr9:uid="{00000000-0011-0000-FFFF-FFFF00000000}">
      <tableStyleElement type="wholeTable" dxfId="47"/>
      <tableStyleElement type="headerRow" dxfId="46"/>
      <tableStyleElement type="totalRow" dxfId="45"/>
      <tableStyleElement type="firstColumn" dxfId="44"/>
      <tableStyleElement type="lastColumn" dxfId="43"/>
      <tableStyleElement type="firstRowStripe" dxfId="42"/>
      <tableStyleElement type="secondRowStripe" dxfId="41"/>
      <tableStyleElement type="firstColumnStripe" dxfId="40"/>
      <tableStyleElement type="secondColumnStripe" dxfId="39"/>
    </tableStyle>
    <tableStyle name="E4tech Table Style_2" pivot="0" count="9" xr9:uid="{00000000-0011-0000-FFFF-FFFF01000000}">
      <tableStyleElement type="wholeTable" dxfId="38"/>
      <tableStyleElement type="headerRow" dxfId="37"/>
      <tableStyleElement type="totalRow" dxfId="36"/>
      <tableStyleElement type="firstColumn" dxfId="35"/>
      <tableStyleElement type="lastColumn" dxfId="34"/>
      <tableStyleElement type="firstRowStripe" dxfId="33"/>
      <tableStyleElement type="secondRowStripe" dxfId="32"/>
      <tableStyleElement type="firstColumnStripe" dxfId="31"/>
      <tableStyleElement type="secondColumnStripe" dxfId="30"/>
    </tableStyle>
    <tableStyle name="E4tech Table Style_3" pivot="0" count="7" xr9:uid="{00000000-0011-0000-FFFF-FFFF02000000}">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E4tech Table Style_4" pivot="0" count="7" xr9:uid="{00000000-0011-0000-FFFF-FFFF03000000}">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E4tech Table Style_5" pivot="0" count="7" xr9:uid="{00000000-0011-0000-FFFF-FFFF04000000}">
      <tableStyleElement type="wholeTable" dxfId="15"/>
      <tableStyleElement type="headerRow" dxfId="14"/>
      <tableStyleElement type="totalRow" dxfId="13"/>
      <tableStyleElement type="firstColumn" dxfId="12"/>
      <tableStyleElement type="lastColumn" dxfId="11"/>
      <tableStyleElement type="firstRowStripe" dxfId="10"/>
      <tableStyleElement type="firstColumnStripe" dxfId="9"/>
    </tableStyle>
    <tableStyle name="E4tech Table Style_6" pivot="0" count="7" xr9:uid="{00000000-0011-0000-FFFF-FFFF05000000}">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s>
  <colors>
    <mruColors>
      <color rgb="FF5B9BD5"/>
      <color rgb="FFFF66CC"/>
      <color rgb="FFFFE6CD"/>
      <color rgb="FF000000"/>
      <color rgb="FF6AB0E0"/>
      <color rgb="FF1B429A"/>
      <color rgb="FFD3CAE0"/>
      <color rgb="FF957FB5"/>
      <color rgb="FF1383BD"/>
      <color rgb="FF8CB5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67235</xdr:colOff>
      <xdr:row>1</xdr:row>
      <xdr:rowOff>44823</xdr:rowOff>
    </xdr:from>
    <xdr:to>
      <xdr:col>5</xdr:col>
      <xdr:colOff>257735</xdr:colOff>
      <xdr:row>25</xdr:row>
      <xdr:rowOff>78440</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295835" y="235323"/>
          <a:ext cx="5048250" cy="410079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0</xdr:colOff>
      <xdr:row>2</xdr:row>
      <xdr:rowOff>0</xdr:rowOff>
    </xdr:from>
    <xdr:to>
      <xdr:col>2</xdr:col>
      <xdr:colOff>1737471</xdr:colOff>
      <xdr:row>5</xdr:row>
      <xdr:rowOff>129863</xdr:rowOff>
    </xdr:to>
    <xdr:pic>
      <xdr:nvPicPr>
        <xdr:cNvPr id="5" name="Picture 4">
          <a:extLst>
            <a:ext uri="{FF2B5EF4-FFF2-40B4-BE49-F238E27FC236}">
              <a16:creationId xmlns:a16="http://schemas.microsoft.com/office/drawing/2014/main" id="{4A625604-A624-4396-984C-1CE55391568E}"/>
            </a:ext>
          </a:extLst>
        </xdr:cNvPr>
        <xdr:cNvPicPr>
          <a:picLocks noChangeAspect="1"/>
        </xdr:cNvPicPr>
      </xdr:nvPicPr>
      <xdr:blipFill>
        <a:blip xmlns:r="http://schemas.openxmlformats.org/officeDocument/2006/relationships" r:embed="rId1"/>
        <a:stretch>
          <a:fillRect/>
        </a:stretch>
      </xdr:blipFill>
      <xdr:spPr>
        <a:xfrm>
          <a:off x="685800" y="381000"/>
          <a:ext cx="1737471" cy="698188"/>
        </a:xfrm>
        <a:prstGeom prst="rect">
          <a:avLst/>
        </a:prstGeom>
      </xdr:spPr>
    </xdr:pic>
    <xdr:clientData/>
  </xdr:twoCellAnchor>
  <xdr:twoCellAnchor editAs="oneCell">
    <xdr:from>
      <xdr:col>2</xdr:col>
      <xdr:colOff>1926980</xdr:colOff>
      <xdr:row>1</xdr:row>
      <xdr:rowOff>102576</xdr:rowOff>
    </xdr:from>
    <xdr:to>
      <xdr:col>3</xdr:col>
      <xdr:colOff>366346</xdr:colOff>
      <xdr:row>5</xdr:row>
      <xdr:rowOff>141645</xdr:rowOff>
    </xdr:to>
    <xdr:pic>
      <xdr:nvPicPr>
        <xdr:cNvPr id="6" name="Picture 5">
          <a:extLst>
            <a:ext uri="{FF2B5EF4-FFF2-40B4-BE49-F238E27FC236}">
              <a16:creationId xmlns:a16="http://schemas.microsoft.com/office/drawing/2014/main" id="{E9C91AC6-A092-1A9B-A966-AE715CFD3B87}"/>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val="0"/>
            </a:ext>
          </a:extLst>
        </a:blip>
        <a:srcRect r="7966"/>
        <a:stretch/>
      </xdr:blipFill>
      <xdr:spPr bwMode="auto">
        <a:xfrm>
          <a:off x="2615711" y="293076"/>
          <a:ext cx="1164981" cy="797894"/>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16D56EEA-87C0-4648-A836-CAEC028B269B}"/>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FE250B03-4B59-4DA0-8EC7-22058725433E}"/>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CE280629-4D7E-4D71-BEC0-C1860DA515D5}"/>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230E0BF9-B119-4C8A-BA1F-D2CEEBDA6AFC}"/>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6" name="TextBox 17">
          <a:extLst>
            <a:ext uri="{FF2B5EF4-FFF2-40B4-BE49-F238E27FC236}">
              <a16:creationId xmlns:a16="http://schemas.microsoft.com/office/drawing/2014/main" id="{DC4D3C91-631E-41E4-8CD1-6784F1FEA3FD}"/>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D5FD1323-F1DF-48CA-B102-7A791A469854}"/>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C0273191-EADD-43E3-8E2A-F88683CD5B1F}"/>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A7AD939E-BA78-4E41-A414-E165C15BAAC5}"/>
            </a:ext>
          </a:extLst>
        </xdr:cNvPr>
        <xdr:cNvSpPr txBox="1"/>
      </xdr:nvSpPr>
      <xdr:spPr>
        <a:xfrm>
          <a:off x="357188" y="1785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4466AF71-85BC-47FA-9D60-B5A67B2A64F6}"/>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F59FCD3D-16E7-416A-A88D-698E39EA0C55}"/>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C9A09EE4-A337-4039-8A27-520A9D868921}"/>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icardoexternal.sharepoint.com/WINDOWS/TEMP/BCK_UP/00deprec.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theermgroup.sharepoint.com/sites/E4Tech-DocumentCo-AuthoringCentre/E4tech%20Consulting/Projects/Current/BEIS-UK-HTA-HECassessors/WP25%20-%20V2%20V3%20Guidance,%20HECs/WIP/HEC/LCHS_UK_HEC_v4.8_FULL.xlsx" TargetMode="External"/><Relationship Id="rId1" Type="http://schemas.openxmlformats.org/officeDocument/2006/relationships/externalLinkPath" Target="https://theermgroup.sharepoint.com/sites/E4Tech-DocumentCo-AuthoringCentre/E4tech%20Consulting/Projects/Current/BEIS-UK-HTA-HECassessors/WP25%20-%20V2%20V3%20Guidance,%20HECs/WIP/HEC/LCHS_UK_HEC_v4.8_FU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reci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tle"/>
      <sheetName val="Navigation"/>
      <sheetName val="Guidance Initial_questions"/>
      <sheetName val="Guidance Processing"/>
      <sheetName val="Guidance Feedstock dLUC"/>
      <sheetName val="Guidance Summary GHG"/>
      <sheetName val="Initial_questions"/>
      <sheetName val="System_Boundary"/>
      <sheetName val="Dashboard"/>
      <sheetName val="Units"/>
      <sheetName val="Default data"/>
      <sheetName val="Typical data"/>
      <sheetName val="Non Typical data"/>
      <sheetName val="GHG_ELECTROLYSIS"/>
      <sheetName val="GHG_NG_REFORM_CCS"/>
      <sheetName val="GHG_ROG_REFORM_CCS"/>
      <sheetName val="GHG_NG_SPLITTING"/>
      <sheetName val="GHG_BIOMETHANE_REFORM"/>
      <sheetName val="GHG_BIOMASS_GASIFICATION"/>
      <sheetName val="GHG_WASTE_GASIFICATION"/>
      <sheetName val="GHG_GENERIC_OTHER"/>
      <sheetName val="Electrolysis"/>
      <sheetName val="NG_Collection"/>
      <sheetName val="NG_Transport"/>
      <sheetName val="NG_Processing"/>
      <sheetName val="NG_Further_Transport"/>
      <sheetName val="NG_Reforming_CCS"/>
      <sheetName val="NG_Splitting_SolidCarbon"/>
      <sheetName val="ROG_Counterfactual"/>
      <sheetName val="Crude_Collection"/>
      <sheetName val="Crude_Transport"/>
      <sheetName val="Crude_Refine"/>
      <sheetName val="ROG_Processing"/>
      <sheetName val="ROG_Transport"/>
      <sheetName val="ROG_Reforming_CCS"/>
      <sheetName val="Biogas_Feedstock_Cultivation"/>
      <sheetName val="Biogas_Feedstock_Harvesting"/>
      <sheetName val="Biogas_Feedstock_Collection"/>
      <sheetName val="Biogas_Feedstock_Transport"/>
      <sheetName val="Biogas+Biomethane_Upgrading"/>
      <sheetName val="Biomethane_Transport"/>
      <sheetName val="Biomethane_Reforming_CCS"/>
      <sheetName val="Biomass_Cultivation"/>
      <sheetName val="Biomass_Harvesting"/>
      <sheetName val="Biomass_Collection"/>
      <sheetName val="Biomass_Transport"/>
      <sheetName val="Biomass_Pre-Processing"/>
      <sheetName val="Biomass_Further_Transport"/>
      <sheetName val="Biomass_Gasification_CCS"/>
      <sheetName val="Waste_Fossil_Counterfactual"/>
      <sheetName val="Waste_Collection"/>
      <sheetName val="Waste_Transport"/>
      <sheetName val="Waste_Pre-Processing"/>
      <sheetName val="Waste_Further_Transport"/>
      <sheetName val="Waste_Gasification_CCS"/>
      <sheetName val="Generic_Fossil_Counterfactual"/>
      <sheetName val="Generic_Feedstock_Cultivation"/>
      <sheetName val="Generic_Feedstock_Harvesting"/>
      <sheetName val="Generic_Feedstock_Collection"/>
      <sheetName val="Generic_Feedstock_Transport"/>
      <sheetName val="Generic_Pre-Processing"/>
      <sheetName val="Generic_Further_Transport"/>
      <sheetName val="Generic_Conversion"/>
    </sheetNames>
    <sheetDataSet>
      <sheetData sheetId="0"/>
      <sheetData sheetId="1"/>
      <sheetData sheetId="2"/>
      <sheetData sheetId="3"/>
      <sheetData sheetId="4"/>
      <sheetData sheetId="5"/>
      <sheetData sheetId="6"/>
      <sheetData sheetId="7"/>
      <sheetData sheetId="8"/>
      <sheetData sheetId="9">
        <row r="8">
          <cell r="C8">
            <v>3.6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E4Tech_theme">
  <a:themeElements>
    <a:clrScheme name="E4tech colours">
      <a:dk1>
        <a:srgbClr val="000000"/>
      </a:dk1>
      <a:lt1>
        <a:srgbClr val="FFFFFF"/>
      </a:lt1>
      <a:dk2>
        <a:srgbClr val="000098"/>
      </a:dk2>
      <a:lt2>
        <a:srgbClr val="D8D9DB"/>
      </a:lt2>
      <a:accent1>
        <a:srgbClr val="1B429A"/>
      </a:accent1>
      <a:accent2>
        <a:srgbClr val="1383BD"/>
      </a:accent2>
      <a:accent3>
        <a:srgbClr val="6AB0E0"/>
      </a:accent3>
      <a:accent4>
        <a:srgbClr val="957FB5"/>
      </a:accent4>
      <a:accent5>
        <a:srgbClr val="4B8A60"/>
      </a:accent5>
      <a:accent6>
        <a:srgbClr val="8CB57E"/>
      </a:accent6>
      <a:hlink>
        <a:srgbClr val="001D4F"/>
      </a:hlink>
      <a:folHlink>
        <a:srgbClr val="D6DEE2"/>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FF@ricardo.com"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publications/renewable-transport-fuel-obligation-rtfo-compliance-reporting-and-verification" TargetMode="External"/><Relationship Id="rId7" Type="http://schemas.openxmlformats.org/officeDocument/2006/relationships/comments" Target="../comments1.xml"/><Relationship Id="rId2" Type="http://schemas.openxmlformats.org/officeDocument/2006/relationships/hyperlink" Target="https://www.gov.uk/government/publications/atmospheric-implications-of-increased-hydrogen-use" TargetMode="External"/><Relationship Id="rId1" Type="http://schemas.openxmlformats.org/officeDocument/2006/relationships/hyperlink" Target="https://www.ipcc.ch/site/assets/uploads/2018/02/ar4-wg1-chapter2-1.pdf" TargetMode="External"/><Relationship Id="rId6" Type="http://schemas.openxmlformats.org/officeDocument/2006/relationships/vmlDrawing" Target="../drawings/vmlDrawing1.vml"/><Relationship Id="rId5" Type="http://schemas.openxmlformats.org/officeDocument/2006/relationships/printerSettings" Target="../printerSettings/printerSettings2.bin"/><Relationship Id="rId4" Type="http://schemas.openxmlformats.org/officeDocument/2006/relationships/hyperlink" Target="https://www.gov.uk/government/publications/renewable-transport-fuel-obligation-rtfo-compliance-reporting-and-verification"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gov.uk/government/publications/greenhouse-gas-reporting-conversion-factors-2024" TargetMode="External"/><Relationship Id="rId3" Type="http://schemas.openxmlformats.org/officeDocument/2006/relationships/hyperlink" Target="https://www.gov.uk/government/publications/biofuels-carbon-calculator-rtfo" TargetMode="External"/><Relationship Id="rId7" Type="http://schemas.openxmlformats.org/officeDocument/2006/relationships/hyperlink" Target="https://assets.publishing.service.gov.uk/government/uploads/system/uploads/attachment_data/file/1067394/low-carbon-hydrogen-standard-guidance-data-tables.pdf" TargetMode="External"/><Relationship Id="rId2" Type="http://schemas.openxmlformats.org/officeDocument/2006/relationships/hyperlink" Target="https://ec.europa.eu/jrc/en/publication/eur-scientific-and-technical-research-reports/jec-well-tank-report-v5" TargetMode="External"/><Relationship Id="rId1" Type="http://schemas.openxmlformats.org/officeDocument/2006/relationships/hyperlink" Target="https://eur01.safelinks.protection.outlook.com/?url=https%3A%2F%2Fiea.blob.core.windows.net%2Fassets%2Fdeebef5d-0c34-4539-9d0c-10b13d840027%2FNetZeroby2050-ARoadmapfortheGlobalEnergySector_CORR.pdf&amp;data=05%7C01%7Cvon.chua%40e4tech.com%7C6c43196d55c247d8ecda08da220ab27e%7Cf2fe6bd39c4a485bae69e18820a88130%7C0%7C0%7C637859726588645422%7CUnknown%7CTWFpbGZsb3d8eyJWIjoiMC4wLjAwMDAiLCJQIjoiV2luMzIiLCJBTiI6Ik1haWwiLCJXVCI6Mn0%3D%7C3000%7C%7C%7C&amp;sdata=rpG8wo6ixFZnPOqx8GTUyk7%2BxgrmPnJFOmN9oPewMQs%3D&amp;reserved=0" TargetMode="External"/><Relationship Id="rId6" Type="http://schemas.openxmlformats.org/officeDocument/2006/relationships/hyperlink" Target="http://www.element-energy.co.uk/wordpress/wp-content/uploads/2021/08/Zemo-Low-Carbon-Hydrogen-WTT-Pathways-full-report.pdf" TargetMode="External"/><Relationship Id="rId5" Type="http://schemas.openxmlformats.org/officeDocument/2006/relationships/hyperlink" Target="https://web.archive.org/web/20190605065129/http:/www.arb.ca.gov/fuels/lcfs/workgroups/lcfssustain/ISCC_EU_205_GHG_Calculation_and_GHG_Audit_2.3_eng.pdf" TargetMode="External"/><Relationship Id="rId4" Type="http://schemas.openxmlformats.org/officeDocument/2006/relationships/hyperlink" Target="https://publications.jrc.ec.europa.eu/repository/handle/JRC104759"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79998168889431442"/>
  </sheetPr>
  <dimension ref="A2:T65"/>
  <sheetViews>
    <sheetView showGridLines="0" tabSelected="1" zoomScale="85" zoomScaleNormal="85" workbookViewId="0"/>
  </sheetViews>
  <sheetFormatPr defaultColWidth="7.28515625" defaultRowHeight="15"/>
  <cols>
    <col min="1" max="1" width="6.7109375" customWidth="1"/>
    <col min="2" max="2" width="3.5703125" customWidth="1"/>
    <col min="3" max="3" width="40.85546875" customWidth="1"/>
    <col min="4" max="4" width="81.28515625" customWidth="1"/>
    <col min="5" max="5" width="13.28515625" customWidth="1"/>
    <col min="10" max="16" width="7.28515625" customWidth="1"/>
    <col min="18" max="18" width="6" customWidth="1"/>
    <col min="20" max="20" width="10.5703125" customWidth="1"/>
    <col min="24" max="24" width="17.5703125" customWidth="1"/>
    <col min="25" max="25" width="18.42578125" customWidth="1"/>
    <col min="26" max="26" width="22.7109375" customWidth="1"/>
  </cols>
  <sheetData>
    <row r="2" spans="1:4">
      <c r="A2" t="s">
        <v>285</v>
      </c>
    </row>
    <row r="8" spans="1:4" ht="21">
      <c r="C8" s="176" t="s">
        <v>383</v>
      </c>
    </row>
    <row r="9" spans="1:4" ht="21">
      <c r="C9" s="149"/>
    </row>
    <row r="10" spans="1:4" ht="21">
      <c r="C10" s="149" t="s">
        <v>382</v>
      </c>
      <c r="D10" s="20"/>
    </row>
    <row r="11" spans="1:4" ht="15.75">
      <c r="C11" s="19"/>
      <c r="D11" s="21"/>
    </row>
    <row r="12" spans="1:4">
      <c r="C12" s="24" t="s">
        <v>0</v>
      </c>
      <c r="D12" s="150" t="s">
        <v>205</v>
      </c>
    </row>
    <row r="13" spans="1:4">
      <c r="C13" s="50" t="s">
        <v>1</v>
      </c>
      <c r="D13" s="49"/>
    </row>
    <row r="14" spans="1:4">
      <c r="C14" s="22"/>
      <c r="D14" s="23"/>
    </row>
    <row r="15" spans="1:4">
      <c r="C15" s="24" t="s">
        <v>277</v>
      </c>
      <c r="D15" s="153"/>
    </row>
    <row r="16" spans="1:4">
      <c r="C16" s="24" t="s">
        <v>278</v>
      </c>
      <c r="D16" s="153"/>
    </row>
    <row r="17" spans="3:4">
      <c r="C17" s="24" t="s">
        <v>207</v>
      </c>
      <c r="D17" s="177" t="s">
        <v>381</v>
      </c>
    </row>
    <row r="18" spans="3:4">
      <c r="C18" s="24" t="s">
        <v>322</v>
      </c>
      <c r="D18" s="153"/>
    </row>
    <row r="19" spans="3:4">
      <c r="C19" s="24" t="s">
        <v>279</v>
      </c>
      <c r="D19" s="153"/>
    </row>
    <row r="20" spans="3:4">
      <c r="C20" s="24" t="s">
        <v>280</v>
      </c>
      <c r="D20" s="153"/>
    </row>
    <row r="21" spans="3:4">
      <c r="C21" s="24" t="s">
        <v>191</v>
      </c>
      <c r="D21" s="153"/>
    </row>
    <row r="22" spans="3:4">
      <c r="C22" s="22"/>
      <c r="D22" s="154"/>
    </row>
    <row r="23" spans="3:4">
      <c r="C23" s="24" t="s">
        <v>2</v>
      </c>
      <c r="D23" s="153"/>
    </row>
    <row r="24" spans="3:4">
      <c r="C24" s="24" t="s">
        <v>3</v>
      </c>
      <c r="D24" s="153"/>
    </row>
    <row r="28" spans="3:4">
      <c r="C28" s="24" t="s">
        <v>4</v>
      </c>
    </row>
    <row r="29" spans="3:4">
      <c r="C29" s="27"/>
      <c r="D29" s="26" t="s">
        <v>5</v>
      </c>
    </row>
    <row r="30" spans="3:4">
      <c r="C30" s="33"/>
      <c r="D30" s="26" t="s">
        <v>6</v>
      </c>
    </row>
    <row r="31" spans="3:4">
      <c r="C31" s="72"/>
      <c r="D31" s="26" t="s">
        <v>218</v>
      </c>
    </row>
    <row r="32" spans="3:4">
      <c r="C32" s="26"/>
      <c r="D32" s="26" t="s">
        <v>7</v>
      </c>
    </row>
    <row r="33" spans="3:20">
      <c r="C33" s="119"/>
      <c r="D33" s="26" t="s">
        <v>7</v>
      </c>
    </row>
    <row r="35" spans="3:20">
      <c r="C35" s="24"/>
    </row>
    <row r="36" spans="3:20">
      <c r="C36" s="24" t="s">
        <v>215</v>
      </c>
    </row>
    <row r="37" spans="3:20">
      <c r="C37" s="136" t="s">
        <v>225</v>
      </c>
      <c r="D37" s="184" t="s">
        <v>281</v>
      </c>
      <c r="E37" s="185"/>
      <c r="F37" s="185"/>
      <c r="G37" s="185"/>
      <c r="H37" s="185"/>
      <c r="I37" s="185"/>
      <c r="J37" s="185"/>
      <c r="K37" s="185"/>
      <c r="L37" s="185"/>
      <c r="M37" s="185"/>
      <c r="N37" s="185"/>
      <c r="O37" s="185"/>
      <c r="P37" s="185"/>
      <c r="Q37" s="185"/>
      <c r="R37" s="185"/>
      <c r="S37" s="185"/>
      <c r="T37" s="186"/>
    </row>
    <row r="38" spans="3:20">
      <c r="C38" s="136" t="s">
        <v>8</v>
      </c>
      <c r="D38" s="184" t="s">
        <v>209</v>
      </c>
      <c r="E38" s="185"/>
      <c r="F38" s="185"/>
      <c r="G38" s="185"/>
      <c r="H38" s="185"/>
      <c r="I38" s="185"/>
      <c r="J38" s="185"/>
      <c r="K38" s="185"/>
      <c r="L38" s="185"/>
      <c r="M38" s="185"/>
      <c r="N38" s="185"/>
      <c r="O38" s="185"/>
      <c r="P38" s="185"/>
      <c r="Q38" s="185"/>
      <c r="R38" s="185"/>
      <c r="S38" s="185"/>
      <c r="T38" s="186"/>
    </row>
    <row r="39" spans="3:20">
      <c r="C39" s="136" t="s">
        <v>9</v>
      </c>
      <c r="D39" s="45" t="s">
        <v>217</v>
      </c>
      <c r="E39" s="46"/>
      <c r="F39" s="46"/>
      <c r="G39" s="46"/>
      <c r="H39" s="46"/>
      <c r="I39" s="46"/>
      <c r="J39" s="46"/>
      <c r="K39" s="46"/>
      <c r="L39" s="46"/>
      <c r="M39" s="46"/>
      <c r="N39" s="46"/>
      <c r="O39" s="46"/>
      <c r="P39" s="46"/>
      <c r="Q39" s="46"/>
      <c r="R39" s="46"/>
      <c r="S39" s="46"/>
      <c r="T39" s="47"/>
    </row>
    <row r="40" spans="3:20">
      <c r="C40" s="75" t="s">
        <v>11</v>
      </c>
      <c r="D40" s="34" t="s">
        <v>211</v>
      </c>
      <c r="E40" s="35"/>
      <c r="F40" s="35"/>
      <c r="G40" s="35"/>
      <c r="H40" s="35"/>
      <c r="I40" s="35"/>
      <c r="J40" s="35"/>
      <c r="K40" s="35"/>
      <c r="L40" s="35"/>
      <c r="M40" s="35"/>
      <c r="N40" s="35"/>
      <c r="O40" s="35"/>
      <c r="P40" s="35"/>
      <c r="Q40" s="35"/>
      <c r="R40" s="35"/>
      <c r="S40" s="35"/>
      <c r="T40" s="36"/>
    </row>
    <row r="41" spans="3:20">
      <c r="C41" s="135" t="s">
        <v>10</v>
      </c>
      <c r="D41" s="184" t="s">
        <v>210</v>
      </c>
      <c r="E41" s="185"/>
      <c r="F41" s="185"/>
      <c r="G41" s="185"/>
      <c r="H41" s="185"/>
      <c r="I41" s="185"/>
      <c r="J41" s="185"/>
      <c r="K41" s="185"/>
      <c r="L41" s="185"/>
      <c r="M41" s="185"/>
      <c r="N41" s="185"/>
      <c r="O41" s="185"/>
      <c r="P41" s="185"/>
      <c r="Q41" s="185"/>
      <c r="R41" s="185"/>
      <c r="S41" s="185"/>
      <c r="T41" s="186"/>
    </row>
    <row r="42" spans="3:20">
      <c r="C42" s="135" t="s">
        <v>212</v>
      </c>
      <c r="D42" s="34" t="s">
        <v>226</v>
      </c>
      <c r="E42" s="35"/>
      <c r="F42" s="35"/>
      <c r="G42" s="35"/>
      <c r="H42" s="35"/>
      <c r="I42" s="35"/>
      <c r="J42" s="35"/>
      <c r="K42" s="35"/>
      <c r="L42" s="35"/>
      <c r="M42" s="35"/>
      <c r="N42" s="35"/>
      <c r="O42" s="35"/>
      <c r="P42" s="35"/>
      <c r="Q42" s="35"/>
      <c r="R42" s="35"/>
      <c r="S42" s="35"/>
      <c r="T42" s="36"/>
    </row>
    <row r="43" spans="3:20">
      <c r="C43" s="135" t="s">
        <v>213</v>
      </c>
      <c r="D43" s="34" t="s">
        <v>214</v>
      </c>
      <c r="E43" s="35"/>
      <c r="F43" s="35"/>
      <c r="G43" s="35"/>
      <c r="H43" s="35"/>
      <c r="I43" s="35"/>
      <c r="J43" s="35"/>
      <c r="K43" s="35"/>
      <c r="L43" s="35"/>
      <c r="M43" s="35"/>
      <c r="N43" s="35"/>
      <c r="O43" s="35"/>
      <c r="P43" s="35"/>
      <c r="Q43" s="35"/>
      <c r="R43" s="35"/>
      <c r="S43" s="35"/>
      <c r="T43" s="36"/>
    </row>
    <row r="44" spans="3:20" ht="15" customHeight="1">
      <c r="C44" s="135" t="s">
        <v>12</v>
      </c>
      <c r="D44" s="187" t="s">
        <v>387</v>
      </c>
      <c r="E44" s="188"/>
      <c r="F44" s="188"/>
      <c r="G44" s="188"/>
      <c r="H44" s="188"/>
      <c r="I44" s="188"/>
      <c r="J44" s="188"/>
      <c r="K44" s="188"/>
      <c r="L44" s="188"/>
      <c r="M44" s="188"/>
      <c r="N44" s="188"/>
      <c r="O44" s="188"/>
      <c r="P44" s="188"/>
      <c r="Q44" s="188"/>
      <c r="R44" s="188"/>
      <c r="S44" s="188"/>
      <c r="T44" s="189"/>
    </row>
    <row r="45" spans="3:20">
      <c r="C45" s="135" t="s">
        <v>13</v>
      </c>
      <c r="D45" s="190"/>
      <c r="E45" s="191"/>
      <c r="F45" s="191"/>
      <c r="G45" s="191"/>
      <c r="H45" s="191"/>
      <c r="I45" s="191"/>
      <c r="J45" s="191"/>
      <c r="K45" s="191"/>
      <c r="L45" s="191"/>
      <c r="M45" s="191"/>
      <c r="N45" s="191"/>
      <c r="O45" s="191"/>
      <c r="P45" s="191"/>
      <c r="Q45" s="191"/>
      <c r="R45" s="191"/>
      <c r="S45" s="191"/>
      <c r="T45" s="192"/>
    </row>
    <row r="46" spans="3:20">
      <c r="C46" s="135" t="s">
        <v>14</v>
      </c>
      <c r="D46" s="190"/>
      <c r="E46" s="191"/>
      <c r="F46" s="191"/>
      <c r="G46" s="191"/>
      <c r="H46" s="191"/>
      <c r="I46" s="191"/>
      <c r="J46" s="191"/>
      <c r="K46" s="191"/>
      <c r="L46" s="191"/>
      <c r="M46" s="191"/>
      <c r="N46" s="191"/>
      <c r="O46" s="191"/>
      <c r="P46" s="191"/>
      <c r="Q46" s="191"/>
      <c r="R46" s="191"/>
      <c r="S46" s="191"/>
      <c r="T46" s="192"/>
    </row>
    <row r="47" spans="3:20">
      <c r="C47" s="135" t="s">
        <v>15</v>
      </c>
      <c r="D47" s="190"/>
      <c r="E47" s="191"/>
      <c r="F47" s="191"/>
      <c r="G47" s="191"/>
      <c r="H47" s="191"/>
      <c r="I47" s="191"/>
      <c r="J47" s="191"/>
      <c r="K47" s="191"/>
      <c r="L47" s="191"/>
      <c r="M47" s="191"/>
      <c r="N47" s="191"/>
      <c r="O47" s="191"/>
      <c r="P47" s="191"/>
      <c r="Q47" s="191"/>
      <c r="R47" s="191"/>
      <c r="S47" s="191"/>
      <c r="T47" s="192"/>
    </row>
    <row r="48" spans="3:20">
      <c r="C48" s="135" t="s">
        <v>16</v>
      </c>
      <c r="D48" s="190"/>
      <c r="E48" s="191"/>
      <c r="F48" s="191"/>
      <c r="G48" s="191"/>
      <c r="H48" s="191"/>
      <c r="I48" s="191"/>
      <c r="J48" s="191"/>
      <c r="K48" s="191"/>
      <c r="L48" s="191"/>
      <c r="M48" s="191"/>
      <c r="N48" s="191"/>
      <c r="O48" s="191"/>
      <c r="P48" s="191"/>
      <c r="Q48" s="191"/>
      <c r="R48" s="191"/>
      <c r="S48" s="191"/>
      <c r="T48" s="192"/>
    </row>
    <row r="49" spans="3:20">
      <c r="C49" s="135" t="s">
        <v>17</v>
      </c>
      <c r="D49" s="190"/>
      <c r="E49" s="191"/>
      <c r="F49" s="191"/>
      <c r="G49" s="191"/>
      <c r="H49" s="191"/>
      <c r="I49" s="191"/>
      <c r="J49" s="191"/>
      <c r="K49" s="191"/>
      <c r="L49" s="191"/>
      <c r="M49" s="191"/>
      <c r="N49" s="191"/>
      <c r="O49" s="191"/>
      <c r="P49" s="191"/>
      <c r="Q49" s="191"/>
      <c r="R49" s="191"/>
      <c r="S49" s="191"/>
      <c r="T49" s="192"/>
    </row>
    <row r="50" spans="3:20">
      <c r="C50" s="135" t="s">
        <v>309</v>
      </c>
      <c r="D50" s="190"/>
      <c r="E50" s="191"/>
      <c r="F50" s="191"/>
      <c r="G50" s="191"/>
      <c r="H50" s="191"/>
      <c r="I50" s="191"/>
      <c r="J50" s="191"/>
      <c r="K50" s="191"/>
      <c r="L50" s="191"/>
      <c r="M50" s="191"/>
      <c r="N50" s="191"/>
      <c r="O50" s="191"/>
      <c r="P50" s="191"/>
      <c r="Q50" s="191"/>
      <c r="R50" s="191"/>
      <c r="S50" s="191"/>
      <c r="T50" s="192"/>
    </row>
    <row r="51" spans="3:20">
      <c r="C51" s="135" t="s">
        <v>18</v>
      </c>
      <c r="D51" s="190"/>
      <c r="E51" s="191"/>
      <c r="F51" s="191"/>
      <c r="G51" s="191"/>
      <c r="H51" s="191"/>
      <c r="I51" s="191"/>
      <c r="J51" s="191"/>
      <c r="K51" s="191"/>
      <c r="L51" s="191"/>
      <c r="M51" s="191"/>
      <c r="N51" s="191"/>
      <c r="O51" s="191"/>
      <c r="P51" s="191"/>
      <c r="Q51" s="191"/>
      <c r="R51" s="191"/>
      <c r="S51" s="191"/>
      <c r="T51" s="192"/>
    </row>
    <row r="52" spans="3:20">
      <c r="C52" s="135" t="s">
        <v>19</v>
      </c>
      <c r="D52" s="190"/>
      <c r="E52" s="191"/>
      <c r="F52" s="191"/>
      <c r="G52" s="191"/>
      <c r="H52" s="191"/>
      <c r="I52" s="191"/>
      <c r="J52" s="191"/>
      <c r="K52" s="191"/>
      <c r="L52" s="191"/>
      <c r="M52" s="191"/>
      <c r="N52" s="191"/>
      <c r="O52" s="191"/>
      <c r="P52" s="191"/>
      <c r="Q52" s="191"/>
      <c r="R52" s="191"/>
      <c r="S52" s="191"/>
      <c r="T52" s="192"/>
    </row>
    <row r="53" spans="3:20">
      <c r="C53" s="135" t="s">
        <v>20</v>
      </c>
      <c r="D53" s="190"/>
      <c r="E53" s="191"/>
      <c r="F53" s="191"/>
      <c r="G53" s="191"/>
      <c r="H53" s="191"/>
      <c r="I53" s="191"/>
      <c r="J53" s="191"/>
      <c r="K53" s="191"/>
      <c r="L53" s="191"/>
      <c r="M53" s="191"/>
      <c r="N53" s="191"/>
      <c r="O53" s="191"/>
      <c r="P53" s="191"/>
      <c r="Q53" s="191"/>
      <c r="R53" s="191"/>
      <c r="S53" s="191"/>
      <c r="T53" s="192"/>
    </row>
    <row r="54" spans="3:20">
      <c r="C54" s="135" t="s">
        <v>204</v>
      </c>
      <c r="D54" s="193"/>
      <c r="E54" s="194"/>
      <c r="F54" s="194"/>
      <c r="G54" s="194"/>
      <c r="H54" s="194"/>
      <c r="I54" s="194"/>
      <c r="J54" s="194"/>
      <c r="K54" s="194"/>
      <c r="L54" s="194"/>
      <c r="M54" s="194"/>
      <c r="N54" s="194"/>
      <c r="O54" s="194"/>
      <c r="P54" s="194"/>
      <c r="Q54" s="194"/>
      <c r="R54" s="194"/>
      <c r="S54" s="194"/>
      <c r="T54" s="195"/>
    </row>
    <row r="57" spans="3:20">
      <c r="C57" s="24" t="s">
        <v>223</v>
      </c>
    </row>
    <row r="58" spans="3:20" s="132" customFormat="1" ht="14.45" customHeight="1">
      <c r="C58" s="196" t="s">
        <v>274</v>
      </c>
      <c r="D58" s="197"/>
      <c r="E58" s="197"/>
      <c r="F58" s="197"/>
      <c r="G58" s="197"/>
      <c r="H58" s="197"/>
      <c r="I58" s="197"/>
      <c r="J58" s="197"/>
      <c r="K58" s="197"/>
      <c r="L58" s="197"/>
      <c r="M58" s="197"/>
      <c r="N58" s="197"/>
      <c r="O58" s="197"/>
      <c r="P58" s="197"/>
      <c r="Q58" s="197"/>
      <c r="R58" s="197"/>
      <c r="S58" s="197"/>
      <c r="T58" s="198"/>
    </row>
    <row r="59" spans="3:20" s="132" customFormat="1" ht="14.45" customHeight="1">
      <c r="C59" s="178" t="s">
        <v>342</v>
      </c>
      <c r="D59" s="179"/>
      <c r="E59" s="179"/>
      <c r="F59" s="179"/>
      <c r="G59" s="179"/>
      <c r="H59" s="179"/>
      <c r="I59" s="179"/>
      <c r="J59" s="179"/>
      <c r="K59" s="179"/>
      <c r="L59" s="179"/>
      <c r="M59" s="179"/>
      <c r="N59" s="179"/>
      <c r="O59" s="179"/>
      <c r="P59" s="179"/>
      <c r="Q59" s="179"/>
      <c r="R59" s="179"/>
      <c r="S59" s="179"/>
      <c r="T59" s="180"/>
    </row>
    <row r="60" spans="3:20" s="132" customFormat="1" ht="14.45" customHeight="1">
      <c r="C60" s="178" t="s">
        <v>224</v>
      </c>
      <c r="D60" s="179"/>
      <c r="E60" s="179"/>
      <c r="F60" s="179"/>
      <c r="G60" s="179"/>
      <c r="H60" s="179"/>
      <c r="I60" s="179"/>
      <c r="J60" s="179"/>
      <c r="K60" s="179"/>
      <c r="L60" s="179"/>
      <c r="M60" s="179"/>
      <c r="N60" s="179"/>
      <c r="O60" s="179"/>
      <c r="P60" s="179"/>
      <c r="Q60" s="179"/>
      <c r="R60" s="179"/>
      <c r="S60" s="179"/>
      <c r="T60" s="180"/>
    </row>
    <row r="61" spans="3:20" s="132" customFormat="1" ht="29.45" customHeight="1">
      <c r="C61" s="181" t="s">
        <v>275</v>
      </c>
      <c r="D61" s="182"/>
      <c r="E61" s="182"/>
      <c r="F61" s="182"/>
      <c r="G61" s="182"/>
      <c r="H61" s="182"/>
      <c r="I61" s="182"/>
      <c r="J61" s="182"/>
      <c r="K61" s="182"/>
      <c r="L61" s="182"/>
      <c r="M61" s="182"/>
      <c r="N61" s="182"/>
      <c r="O61" s="182"/>
      <c r="P61" s="182"/>
      <c r="Q61" s="182"/>
      <c r="R61" s="182"/>
      <c r="S61" s="182"/>
      <c r="T61" s="183"/>
    </row>
    <row r="64" spans="3:20">
      <c r="C64" s="51" t="s">
        <v>185</v>
      </c>
    </row>
    <row r="65" spans="3:20">
      <c r="C65" s="133" t="s">
        <v>388</v>
      </c>
      <c r="D65" s="26" t="s">
        <v>389</v>
      </c>
      <c r="E65" s="199"/>
      <c r="F65" s="199"/>
      <c r="G65" s="199"/>
      <c r="H65" s="199"/>
      <c r="I65" s="199"/>
      <c r="J65" s="199"/>
      <c r="K65" s="199"/>
      <c r="L65" s="199"/>
      <c r="M65" s="199"/>
      <c r="N65" s="199"/>
      <c r="O65" s="199"/>
      <c r="P65" s="199"/>
      <c r="Q65" s="199"/>
      <c r="R65" s="199"/>
      <c r="S65" s="199"/>
      <c r="T65" s="134"/>
    </row>
  </sheetData>
  <mergeCells count="8">
    <mergeCell ref="C60:T60"/>
    <mergeCell ref="C61:T61"/>
    <mergeCell ref="C59:T59"/>
    <mergeCell ref="D37:T37"/>
    <mergeCell ref="D41:T41"/>
    <mergeCell ref="D44:T54"/>
    <mergeCell ref="D38:T38"/>
    <mergeCell ref="C58:T58"/>
  </mergeCells>
  <dataValidations count="1">
    <dataValidation type="list" allowBlank="1" showInputMessage="1" showErrorMessage="1" sqref="D21" xr:uid="{00000000-0002-0000-0000-000000000000}">
      <formula1>"Biofuel, RFNBO, Nuclear, RCF"</formula1>
    </dataValidation>
  </dataValidations>
  <hyperlinks>
    <hyperlink ref="D12" r:id="rId1" xr:uid="{BB5EE59C-0C26-48AC-A95C-D13B449330EF}"/>
    <hyperlink ref="C39" location="Assumptions!A1" display="Assumptions" xr:uid="{521F1C35-DA4B-4F30-8027-817030A9E065}"/>
    <hyperlink ref="C38" location="Units!A1" display="Units" xr:uid="{71E2F4E7-3023-481B-B15E-737AD2F0ED9E}"/>
    <hyperlink ref="C41" location="'System Boundary'!A1" display="System boundary" xr:uid="{5628AEF2-5B50-43CC-B817-013BE4EC1F10}"/>
    <hyperlink ref="C40" location="Summary!A1" display="Summary" xr:uid="{E9330285-6A97-4AE2-8343-E3ABE91DA913}"/>
    <hyperlink ref="C42" location="'Additional evidence'!A1" display="Additional evidence" xr:uid="{E77FB7D1-4345-4864-BD1D-50D9BC6441B3}"/>
    <hyperlink ref="C43" location="'RCF counterfactual'!A1" display="RCF counterfactual" xr:uid="{5227B914-BCC8-41F0-B2B8-55244A7DC6CF}"/>
    <hyperlink ref="C37" location="Guidance!A1" display="Guidance" xr:uid="{FB930C57-C5BE-4A19-8E28-26228E8C93B7}"/>
  </hyperlinks>
  <pageMargins left="0.70000000000000007" right="0.70000000000000007" top="0.75" bottom="0.75" header="0.30000000000000004" footer="0.30000000000000004"/>
  <pageSetup paperSize="9"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79998168889431442"/>
  </sheetPr>
  <dimension ref="B2:Z58"/>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308</v>
      </c>
      <c r="G2" s="2" t="s">
        <v>358</v>
      </c>
      <c r="H2" s="2" t="s">
        <v>164</v>
      </c>
      <c r="I2" s="2" t="s">
        <v>359</v>
      </c>
      <c r="J2" s="2" t="s">
        <v>333</v>
      </c>
      <c r="K2" s="2" t="s">
        <v>334</v>
      </c>
      <c r="L2" s="2" t="s">
        <v>306</v>
      </c>
      <c r="M2" s="2" t="s">
        <v>307</v>
      </c>
      <c r="N2" s="2" t="s">
        <v>336</v>
      </c>
      <c r="O2" s="2" t="s">
        <v>332</v>
      </c>
      <c r="P2" s="2" t="s">
        <v>330</v>
      </c>
      <c r="Q2" s="2"/>
      <c r="R2" s="30" t="s">
        <v>360</v>
      </c>
      <c r="S2" s="2" t="s">
        <v>331</v>
      </c>
      <c r="T2" s="2" t="s">
        <v>246</v>
      </c>
      <c r="U2" s="2" t="s">
        <v>335</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'Feedstock transport'!C17</f>
        <v>e.g. Forestry residue chips</v>
      </c>
      <c r="D5" s="8" t="s">
        <v>244</v>
      </c>
      <c r="E5" s="162"/>
      <c r="F5" s="157"/>
      <c r="G5" s="157"/>
      <c r="H5" s="159"/>
      <c r="I5" s="159" t="s">
        <v>176</v>
      </c>
      <c r="J5" s="162"/>
      <c r="K5" s="159"/>
      <c r="L5" s="159"/>
      <c r="M5" s="159"/>
      <c r="N5" s="14"/>
      <c r="O5" s="37">
        <f t="shared" ref="O5:O14" si="0">IF($D5="MWh/yr (LHV)",$E5,$J5*$E5*(1-$L5)/3.6)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si="0"/>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41"/>
      <c r="X16" s="141"/>
      <c r="Y16" s="141"/>
      <c r="Z16" s="3"/>
    </row>
    <row r="17" spans="2:26">
      <c r="B17" s="9" t="s">
        <v>175</v>
      </c>
      <c r="C17" s="144" t="s">
        <v>267</v>
      </c>
      <c r="D17" s="8" t="s">
        <v>244</v>
      </c>
      <c r="E17" s="158"/>
      <c r="F17" s="157"/>
      <c r="G17" s="157"/>
      <c r="H17" s="157"/>
      <c r="I17" s="157" t="s">
        <v>176</v>
      </c>
      <c r="J17" s="158"/>
      <c r="K17" s="157"/>
      <c r="L17" s="157"/>
      <c r="M17" s="157"/>
      <c r="N17" s="14"/>
      <c r="O17" s="37">
        <f t="shared" ref="O17:O38" si="4">IF($D17="MWh/yr (LHV)",$E17,$J17*$E17*(1-$L17)/3.6)</f>
        <v>0</v>
      </c>
      <c r="P17" s="174" t="str">
        <f>IFERROR(O17/O5,"")</f>
        <v/>
      </c>
      <c r="R17" s="37">
        <f>IF($D17="MWh/yr (LHV)",$E17,$E17*MAX(0, $J17*(1-$L17)-2.441*$L17)/kWh_to_MJ)</f>
        <v>0</v>
      </c>
      <c r="S17" s="173" t="str">
        <f t="shared" ref="S17:S23" si="5">IFERROR(R17/(SUM($R$17:$R$23)),"")</f>
        <v/>
      </c>
      <c r="T17" s="175"/>
      <c r="U17" s="175"/>
      <c r="V17" s="175"/>
      <c r="W17" s="147"/>
      <c r="Y17" s="13"/>
      <c r="Z17" s="3"/>
    </row>
    <row r="18" spans="2:26" s="6" customFormat="1">
      <c r="B18" s="143" t="s">
        <v>179</v>
      </c>
      <c r="C18" s="144" t="s">
        <v>249</v>
      </c>
      <c r="D18" s="8" t="s">
        <v>244</v>
      </c>
      <c r="E18" s="158"/>
      <c r="F18" s="157"/>
      <c r="G18" s="157"/>
      <c r="H18" s="159"/>
      <c r="I18" s="159"/>
      <c r="J18" s="159"/>
      <c r="K18" s="159"/>
      <c r="L18" s="159"/>
      <c r="M18" s="159"/>
      <c r="N18" s="14"/>
      <c r="O18" s="37">
        <f t="shared" si="4"/>
        <v>0</v>
      </c>
      <c r="P18" s="3"/>
      <c r="Q18" s="3"/>
      <c r="R18" s="37">
        <f>IF($D18="MWh/yr (LHV)",$E18,$E18*MAX(0, $J18*(1-$L18)-2.441*$L18)/kWh_to_MJ)</f>
        <v>0</v>
      </c>
      <c r="S18" s="173" t="str">
        <f t="shared" si="5"/>
        <v/>
      </c>
      <c r="T18" s="175"/>
      <c r="U18" s="175"/>
      <c r="V18" s="175"/>
      <c r="W18" s="147"/>
      <c r="Y18" s="13"/>
    </row>
    <row r="19" spans="2:26" s="6" customFormat="1">
      <c r="B19" s="143" t="s">
        <v>179</v>
      </c>
      <c r="C19" s="144" t="s">
        <v>250</v>
      </c>
      <c r="D19" s="8" t="s">
        <v>244</v>
      </c>
      <c r="E19" s="158"/>
      <c r="F19" s="157"/>
      <c r="G19" s="157"/>
      <c r="H19" s="159"/>
      <c r="I19" s="159"/>
      <c r="J19" s="159"/>
      <c r="K19" s="159"/>
      <c r="L19" s="159"/>
      <c r="M19" s="159"/>
      <c r="N19" s="14"/>
      <c r="O19" s="37">
        <f t="shared" si="4"/>
        <v>0</v>
      </c>
      <c r="P19" s="3"/>
      <c r="Q19" s="3"/>
      <c r="R19" s="37">
        <f>IF($D19="MWh/yr (LHV)",$E19,$E19*MAX(0, $J19*(1-$L19)-2.441*$L19)/kWh_to_MJ)</f>
        <v>0</v>
      </c>
      <c r="S19" s="173" t="str">
        <f t="shared" si="5"/>
        <v/>
      </c>
      <c r="T19" s="175"/>
      <c r="U19" s="175"/>
      <c r="V19" s="175"/>
      <c r="W19" s="147"/>
      <c r="Y19" s="13"/>
    </row>
    <row r="20" spans="2:26" s="6" customFormat="1">
      <c r="B20" s="143" t="s">
        <v>179</v>
      </c>
      <c r="C20" s="144"/>
      <c r="D20" s="8" t="s">
        <v>244</v>
      </c>
      <c r="E20" s="158"/>
      <c r="F20" s="157"/>
      <c r="G20" s="157"/>
      <c r="H20" s="159"/>
      <c r="I20" s="159"/>
      <c r="J20" s="159"/>
      <c r="K20" s="159"/>
      <c r="L20" s="159"/>
      <c r="M20" s="159"/>
      <c r="N20" s="14"/>
      <c r="O20" s="37">
        <f t="shared" si="4"/>
        <v>0</v>
      </c>
      <c r="P20" s="3"/>
      <c r="Q20" s="3"/>
      <c r="R20" s="37">
        <f>IF($D20="MWh/yr (LHV)",$E20,$E20*MAX(0, $J20*(1-$L20)-2.441*$L20)/kWh_to_MJ)</f>
        <v>0</v>
      </c>
      <c r="S20" s="173" t="str">
        <f t="shared" si="5"/>
        <v/>
      </c>
      <c r="T20" s="175"/>
      <c r="U20" s="175"/>
      <c r="V20" s="175"/>
      <c r="W20" s="147"/>
      <c r="Y20" s="13"/>
    </row>
    <row r="21" spans="2:26" s="6" customFormat="1">
      <c r="B21" s="143" t="s">
        <v>361</v>
      </c>
      <c r="C21" s="144" t="s">
        <v>362</v>
      </c>
      <c r="D21" s="8" t="s">
        <v>245</v>
      </c>
      <c r="E21" s="158"/>
      <c r="F21" s="157"/>
      <c r="G21" s="157"/>
      <c r="H21" s="159"/>
      <c r="I21" s="159"/>
      <c r="J21" s="162" t="s">
        <v>172</v>
      </c>
      <c r="K21" s="162"/>
      <c r="L21" s="162" t="s">
        <v>172</v>
      </c>
      <c r="M21" s="159"/>
      <c r="N21" s="163"/>
      <c r="O21" s="37">
        <f t="shared" si="4"/>
        <v>0</v>
      </c>
      <c r="P21" s="3"/>
      <c r="Q21" s="3"/>
      <c r="R21" s="37">
        <f>IF($D21="MWh/yr (LHV)",$E21,$E21*MAX(0, $J21*(1-$L21)-2.441*$L21)/kWh_to_MJ)</f>
        <v>0</v>
      </c>
      <c r="S21" s="173" t="str">
        <f t="shared" si="5"/>
        <v/>
      </c>
      <c r="T21" s="175"/>
      <c r="U21" s="175"/>
      <c r="V21" s="175"/>
      <c r="W21" s="147"/>
      <c r="Y21" s="13"/>
    </row>
    <row r="22" spans="2:26" s="6" customFormat="1">
      <c r="B22" s="143" t="s">
        <v>339</v>
      </c>
      <c r="C22" s="144" t="s">
        <v>356</v>
      </c>
      <c r="D22" s="8" t="s">
        <v>245</v>
      </c>
      <c r="E22" s="158"/>
      <c r="F22" s="157"/>
      <c r="G22" s="157"/>
      <c r="H22" s="159"/>
      <c r="I22" s="159"/>
      <c r="J22" s="162" t="s">
        <v>172</v>
      </c>
      <c r="K22" s="162"/>
      <c r="L22" s="162" t="s">
        <v>172</v>
      </c>
      <c r="M22" s="159"/>
      <c r="N22" s="158" t="s">
        <v>337</v>
      </c>
      <c r="O22" s="37">
        <f t="shared" si="4"/>
        <v>0</v>
      </c>
      <c r="P22" s="3"/>
      <c r="Q22" s="3"/>
      <c r="R22" s="37">
        <f>IF($D22="MWh/yr (LHV)",$E22,$E22*MAX(0, $J22*(1-$L22)-2.441*$L22)/kWh_to_MJ)*IF(OR(N22="", NOT(ISNUMBER(N22))), 1, (N22)/(N22+273.15))</f>
        <v>0</v>
      </c>
      <c r="S22" s="173" t="str">
        <f t="shared" si="5"/>
        <v/>
      </c>
      <c r="T22" s="175"/>
      <c r="U22" s="175"/>
      <c r="V22" s="175"/>
      <c r="W22" s="147"/>
      <c r="Y22" s="13"/>
    </row>
    <row r="23" spans="2:26" s="6" customFormat="1">
      <c r="B23" s="143" t="s">
        <v>340</v>
      </c>
      <c r="C23" s="144" t="s">
        <v>357</v>
      </c>
      <c r="D23" s="8" t="s">
        <v>245</v>
      </c>
      <c r="E23" s="157"/>
      <c r="F23" s="157"/>
      <c r="G23" s="157"/>
      <c r="H23" s="159"/>
      <c r="I23" s="159"/>
      <c r="J23" s="158" t="s">
        <v>338</v>
      </c>
      <c r="K23" s="159"/>
      <c r="L23" s="162">
        <v>0</v>
      </c>
      <c r="M23" s="159"/>
      <c r="N23" s="158" t="s">
        <v>337</v>
      </c>
      <c r="O23" s="37">
        <f t="shared" si="4"/>
        <v>0</v>
      </c>
      <c r="P23" s="3"/>
      <c r="Q23" s="3"/>
      <c r="R23" s="37">
        <f>IF($D23="MWh/yr (LHV)",$E23,$E23*MAX(0, $J23*(1-$L23)-2.441*$L23)/kWh_to_MJ)*IF(OR(N23="", NOT(ISNUMBER(N23))), 1, (N23)/(N23+273.15))</f>
        <v>0</v>
      </c>
      <c r="S23" s="173" t="str">
        <f t="shared" si="5"/>
        <v/>
      </c>
      <c r="T23" s="175"/>
      <c r="U23" s="175"/>
      <c r="V23" s="175"/>
      <c r="W23" s="147"/>
      <c r="Y23" s="13"/>
    </row>
    <row r="24" spans="2:26" s="6" customFormat="1">
      <c r="B24" s="143" t="s">
        <v>177</v>
      </c>
      <c r="C24" s="144" t="s">
        <v>251</v>
      </c>
      <c r="D24" s="8" t="s">
        <v>244</v>
      </c>
      <c r="E24" s="157"/>
      <c r="F24" s="157"/>
      <c r="G24" s="157"/>
      <c r="H24" s="159"/>
      <c r="I24" s="159"/>
      <c r="J24" s="159"/>
      <c r="K24" s="159"/>
      <c r="L24" s="159"/>
      <c r="M24" s="159"/>
      <c r="N24" s="14"/>
      <c r="O24" s="37">
        <f t="shared" si="4"/>
        <v>0</v>
      </c>
      <c r="P24" s="3"/>
      <c r="Q24" s="3"/>
      <c r="R24" s="3"/>
      <c r="S24" s="3"/>
      <c r="T24" s="162" t="str">
        <f t="shared" ref="T24:T28" si="6">IF(B24="", "", IF(D24="MWh/yr (LHV)", "Use column to right", "Enter data here"))</f>
        <v>Enter data here</v>
      </c>
      <c r="U24" s="162" t="str">
        <f t="shared" ref="U24:U28" si="7">IF(B24="", "", IF(D24="MWh/yr (LHV)", "Enter data here", "Use column to left"))</f>
        <v>Use column to left</v>
      </c>
      <c r="V24" s="158" t="s">
        <v>305</v>
      </c>
      <c r="W24" s="145" t="str">
        <f t="shared" ref="W24:W28" si="8">IFERROR(IF(D24="tonnes/yr", $T24*$E24/($O$17*3.6), $U24*$E24*3.6/($O$17*3.6)), "Unfilled fields on left")</f>
        <v>Unfilled fields on left</v>
      </c>
      <c r="Y24" s="13"/>
    </row>
    <row r="25" spans="2:26" s="6" customFormat="1">
      <c r="B25" s="143" t="s">
        <v>177</v>
      </c>
      <c r="C25" s="144" t="s">
        <v>273</v>
      </c>
      <c r="D25" s="8" t="s">
        <v>244</v>
      </c>
      <c r="E25" s="157"/>
      <c r="F25" s="157"/>
      <c r="G25" s="157"/>
      <c r="H25" s="159"/>
      <c r="I25" s="159"/>
      <c r="J25" s="159"/>
      <c r="K25" s="159"/>
      <c r="L25" s="159"/>
      <c r="M25" s="159"/>
      <c r="N25" s="14"/>
      <c r="O25" s="37">
        <f t="shared" si="4"/>
        <v>0</v>
      </c>
      <c r="P25" s="3"/>
      <c r="Q25" s="3"/>
      <c r="R25" s="3"/>
      <c r="S25" s="3"/>
      <c r="T25" s="162" t="str">
        <f t="shared" si="6"/>
        <v>Enter data here</v>
      </c>
      <c r="U25" s="162" t="str">
        <f t="shared" si="7"/>
        <v>Use column to left</v>
      </c>
      <c r="V25" s="158" t="s">
        <v>305</v>
      </c>
      <c r="W25" s="145" t="str">
        <f t="shared" si="8"/>
        <v>Unfilled fields on left</v>
      </c>
      <c r="Y25" s="13"/>
    </row>
    <row r="26" spans="2:26" s="6" customFormat="1">
      <c r="B26" s="143" t="s">
        <v>177</v>
      </c>
      <c r="C26" s="144" t="s">
        <v>260</v>
      </c>
      <c r="D26" s="8" t="s">
        <v>244</v>
      </c>
      <c r="E26" s="158"/>
      <c r="F26" s="157"/>
      <c r="G26" s="157"/>
      <c r="H26" s="159"/>
      <c r="I26" s="162"/>
      <c r="J26" s="162"/>
      <c r="K26" s="159"/>
      <c r="L26" s="159"/>
      <c r="M26" s="159"/>
      <c r="N26" s="14"/>
      <c r="O26" s="37">
        <f t="shared" si="4"/>
        <v>0</v>
      </c>
      <c r="P26" s="3"/>
      <c r="Q26" s="3"/>
      <c r="R26" s="3"/>
      <c r="S26" s="3"/>
      <c r="T26" s="162" t="str">
        <f t="shared" si="6"/>
        <v>Enter data here</v>
      </c>
      <c r="U26" s="162" t="str">
        <f t="shared" si="7"/>
        <v>Use column to left</v>
      </c>
      <c r="V26" s="158" t="s">
        <v>305</v>
      </c>
      <c r="W26" s="145" t="str">
        <f t="shared" si="8"/>
        <v>Unfilled fields on left</v>
      </c>
      <c r="Y26" s="13"/>
    </row>
    <row r="27" spans="2:26" s="6" customFormat="1">
      <c r="B27" s="143" t="s">
        <v>180</v>
      </c>
      <c r="C27" s="144" t="s">
        <v>252</v>
      </c>
      <c r="D27" s="8" t="s">
        <v>244</v>
      </c>
      <c r="E27" s="157"/>
      <c r="F27" s="157"/>
      <c r="G27" s="157"/>
      <c r="H27" s="159"/>
      <c r="I27" s="159"/>
      <c r="J27" s="159"/>
      <c r="K27" s="159"/>
      <c r="L27" s="159"/>
      <c r="M27" s="159"/>
      <c r="N27" s="14"/>
      <c r="O27" s="37">
        <f t="shared" si="4"/>
        <v>0</v>
      </c>
      <c r="P27" s="3"/>
      <c r="Q27" s="3"/>
      <c r="R27" s="3"/>
      <c r="S27" s="3"/>
      <c r="T27" s="162" t="str">
        <f t="shared" si="6"/>
        <v>Enter data here</v>
      </c>
      <c r="U27" s="162" t="str">
        <f t="shared" si="7"/>
        <v>Use column to left</v>
      </c>
      <c r="V27" s="158" t="s">
        <v>305</v>
      </c>
      <c r="W27" s="145" t="str">
        <f t="shared" si="8"/>
        <v>Unfilled fields on left</v>
      </c>
      <c r="Y27" s="13"/>
    </row>
    <row r="28" spans="2:26" s="6" customFormat="1">
      <c r="B28" s="143" t="s">
        <v>180</v>
      </c>
      <c r="C28" s="144" t="s">
        <v>181</v>
      </c>
      <c r="D28" s="8" t="s">
        <v>244</v>
      </c>
      <c r="E28" s="157"/>
      <c r="F28" s="157"/>
      <c r="G28" s="157"/>
      <c r="H28" s="159"/>
      <c r="I28" s="159"/>
      <c r="J28" s="159"/>
      <c r="K28" s="159"/>
      <c r="L28" s="159"/>
      <c r="M28" s="159"/>
      <c r="N28" s="14"/>
      <c r="O28" s="37">
        <f t="shared" si="4"/>
        <v>0</v>
      </c>
      <c r="P28" s="3"/>
      <c r="Q28" s="3"/>
      <c r="R28" s="3"/>
      <c r="S28" s="3"/>
      <c r="T28" s="162" t="str">
        <f t="shared" si="6"/>
        <v>Enter data here</v>
      </c>
      <c r="U28" s="162" t="str">
        <f t="shared" si="7"/>
        <v>Use column to left</v>
      </c>
      <c r="V28" s="158" t="s">
        <v>305</v>
      </c>
      <c r="W28" s="145" t="str">
        <f t="shared" si="8"/>
        <v>Unfilled fields on left</v>
      </c>
      <c r="Y28" s="13"/>
    </row>
    <row r="29" spans="2:26" s="6" customFormat="1">
      <c r="B29" s="143" t="s">
        <v>375</v>
      </c>
      <c r="C29" s="144" t="s">
        <v>368</v>
      </c>
      <c r="D29" s="8" t="s">
        <v>244</v>
      </c>
      <c r="E29" s="157"/>
      <c r="F29" s="157"/>
      <c r="G29" s="157"/>
      <c r="H29" s="159"/>
      <c r="I29" s="159"/>
      <c r="J29" s="159"/>
      <c r="K29" s="159"/>
      <c r="L29" s="159"/>
      <c r="M29" s="159"/>
      <c r="N29" s="14"/>
      <c r="O29" s="37">
        <f t="shared" si="4"/>
        <v>0</v>
      </c>
      <c r="P29" s="3"/>
      <c r="Q29" s="3"/>
      <c r="R29" s="3"/>
      <c r="S29" s="3"/>
      <c r="T29" s="158">
        <v>0</v>
      </c>
      <c r="U29" s="15"/>
      <c r="V29" s="158" t="s">
        <v>271</v>
      </c>
      <c r="W29" s="145" t="str">
        <f>IFERROR(IF(D29="tonnes/yr", $T29*$E29/($O$17*3.6), $U29*$E29*3.6/($O$17*3.6)), "Unfilled fields on left")</f>
        <v>Unfilled fields on left</v>
      </c>
      <c r="Y29" s="13"/>
    </row>
    <row r="30" spans="2:26" s="6" customFormat="1">
      <c r="B30" s="143" t="s">
        <v>375</v>
      </c>
      <c r="C30" s="144" t="s">
        <v>369</v>
      </c>
      <c r="D30" s="8" t="s">
        <v>244</v>
      </c>
      <c r="E30" s="157"/>
      <c r="F30" s="157"/>
      <c r="G30" s="157"/>
      <c r="H30" s="159"/>
      <c r="I30" s="159"/>
      <c r="J30" s="159"/>
      <c r="K30" s="159"/>
      <c r="L30" s="159"/>
      <c r="M30" s="159"/>
      <c r="N30" s="14"/>
      <c r="O30" s="37">
        <f t="shared" si="4"/>
        <v>0</v>
      </c>
      <c r="P30" s="3"/>
      <c r="Q30" s="3"/>
      <c r="R30" s="3"/>
      <c r="S30" s="3"/>
      <c r="T30" s="158">
        <v>0</v>
      </c>
      <c r="U30" s="15"/>
      <c r="V30" s="158" t="s">
        <v>367</v>
      </c>
      <c r="W30" s="145" t="str">
        <f>IFERROR(IF(D30="tonnes/yr", $T30*$E30/($O$17*3.6), $U30*$E30*3.6/($O$17*3.6)), "Unfilled fields on left")</f>
        <v>Unfilled fields on left</v>
      </c>
      <c r="Y30" s="13"/>
    </row>
    <row r="31" spans="2:26" s="6" customFormat="1">
      <c r="B31" s="143" t="s">
        <v>375</v>
      </c>
      <c r="C31" s="144" t="s">
        <v>370</v>
      </c>
      <c r="D31" s="8" t="s">
        <v>244</v>
      </c>
      <c r="E31" s="157"/>
      <c r="F31" s="157"/>
      <c r="G31" s="157"/>
      <c r="H31" s="159"/>
      <c r="I31" s="159"/>
      <c r="J31" s="159"/>
      <c r="K31" s="159"/>
      <c r="L31" s="159"/>
      <c r="M31" s="159"/>
      <c r="N31" s="14"/>
      <c r="O31" s="37">
        <f t="shared" si="4"/>
        <v>0</v>
      </c>
      <c r="P31" s="3"/>
      <c r="Q31" s="3"/>
      <c r="R31" s="3"/>
      <c r="S31" s="3"/>
      <c r="T31" s="158">
        <v>1000</v>
      </c>
      <c r="U31" s="15"/>
      <c r="V31" s="158" t="s">
        <v>371</v>
      </c>
      <c r="W31" s="145" t="str">
        <f>IFERROR(IF(D31="tonnes/yr", $T31*$E31/($O$17*3.6), $U31*$E31*3.6/($O$17*3.6)), "Unfilled fields on left")</f>
        <v>Unfilled fields on left</v>
      </c>
      <c r="Y31" s="13"/>
    </row>
    <row r="32" spans="2:26" s="6" customFormat="1">
      <c r="B32" s="143" t="s">
        <v>373</v>
      </c>
      <c r="C32" s="144" t="s">
        <v>268</v>
      </c>
      <c r="D32" s="8" t="s">
        <v>244</v>
      </c>
      <c r="E32" s="157"/>
      <c r="F32" s="157"/>
      <c r="G32" s="157"/>
      <c r="H32" s="159"/>
      <c r="I32" s="159"/>
      <c r="J32" s="159"/>
      <c r="K32" s="159"/>
      <c r="L32" s="159"/>
      <c r="M32" s="159"/>
      <c r="N32" s="14"/>
      <c r="O32" s="37">
        <f t="shared" si="4"/>
        <v>0</v>
      </c>
      <c r="P32" s="3"/>
      <c r="Q32" s="3"/>
      <c r="R32" s="3"/>
      <c r="S32" s="3"/>
      <c r="T32" s="158">
        <v>-1000</v>
      </c>
      <c r="U32" s="15"/>
      <c r="V32" s="158" t="s">
        <v>372</v>
      </c>
      <c r="W32" s="145" t="str">
        <f>IFERROR(IF(D32="tonnes/yr", $T32*$E32/($O$17*3.6), $U32*$E32*3.6/($O$17*3.6)), "Unfilled fields on left")</f>
        <v>Unfilled fields on left</v>
      </c>
      <c r="Y32" s="13"/>
    </row>
    <row r="33" spans="2:26" s="6" customFormat="1">
      <c r="B33" s="143" t="s">
        <v>373</v>
      </c>
      <c r="C33" s="144" t="s">
        <v>269</v>
      </c>
      <c r="D33" s="8" t="s">
        <v>244</v>
      </c>
      <c r="E33" s="157"/>
      <c r="F33" s="157"/>
      <c r="G33" s="157"/>
      <c r="H33" s="159"/>
      <c r="I33" s="159"/>
      <c r="J33" s="159"/>
      <c r="K33" s="159"/>
      <c r="L33" s="159"/>
      <c r="M33" s="159"/>
      <c r="N33" s="14"/>
      <c r="O33" s="37">
        <f t="shared" si="4"/>
        <v>0</v>
      </c>
      <c r="P33" s="3"/>
      <c r="Q33" s="3"/>
      <c r="R33" s="3"/>
      <c r="S33" s="3"/>
      <c r="T33" s="158">
        <v>-1000</v>
      </c>
      <c r="U33" s="15"/>
      <c r="V33" s="158" t="s">
        <v>377</v>
      </c>
      <c r="W33" s="145" t="str">
        <f>IFERROR(IF(D33="tonnes/yr", $T33*$E33/($O$17*3.6), $U33*$E33*3.6/($O$17*3.6)), "Unfilled fields on left")</f>
        <v>Unfilled fields on left</v>
      </c>
      <c r="Y33" s="13"/>
    </row>
    <row r="34" spans="2:26">
      <c r="B34" s="143" t="s">
        <v>374</v>
      </c>
      <c r="C34" s="144" t="s">
        <v>378</v>
      </c>
      <c r="D34" s="8" t="s">
        <v>244</v>
      </c>
      <c r="E34" s="157"/>
      <c r="F34" s="157"/>
      <c r="G34" s="157"/>
      <c r="H34" s="159"/>
      <c r="I34" s="159"/>
      <c r="J34" s="159"/>
      <c r="K34" s="159"/>
      <c r="L34" s="159"/>
      <c r="M34" s="159"/>
      <c r="N34" s="14"/>
      <c r="O34" s="37">
        <f t="shared" si="4"/>
        <v>0</v>
      </c>
      <c r="P34" s="3"/>
      <c r="T34" s="158">
        <v>-1000</v>
      </c>
      <c r="U34" s="15"/>
      <c r="V34" s="158" t="s">
        <v>379</v>
      </c>
      <c r="W34" s="145" t="str">
        <f t="shared" ref="W34:W37" si="9">IFERROR(IF(D34="tonnes/yr", $T34*$E34/($O$17*3.6), $U34*$E34*3.6/($O$17*3.6)), "Unfilled fields on left")</f>
        <v>Unfilled fields on left</v>
      </c>
      <c r="X34" s="6"/>
      <c r="Y34" s="13"/>
      <c r="Z34" s="3"/>
    </row>
    <row r="35" spans="2:26">
      <c r="B35" s="143" t="s">
        <v>374</v>
      </c>
      <c r="C35" s="144" t="s">
        <v>366</v>
      </c>
      <c r="D35" s="8" t="s">
        <v>244</v>
      </c>
      <c r="E35" s="157"/>
      <c r="F35" s="157"/>
      <c r="G35" s="157"/>
      <c r="H35" s="159"/>
      <c r="I35" s="159"/>
      <c r="J35" s="159"/>
      <c r="K35" s="159"/>
      <c r="L35" s="159"/>
      <c r="M35" s="159"/>
      <c r="N35" s="14"/>
      <c r="O35" s="37">
        <f t="shared" si="4"/>
        <v>0</v>
      </c>
      <c r="P35" s="3"/>
      <c r="T35" s="158">
        <v>0</v>
      </c>
      <c r="U35" s="15"/>
      <c r="V35" s="158" t="s">
        <v>365</v>
      </c>
      <c r="W35" s="145" t="str">
        <f t="shared" si="9"/>
        <v>Unfilled fields on left</v>
      </c>
      <c r="X35" s="6"/>
      <c r="Y35" s="13"/>
      <c r="Z35" s="3"/>
    </row>
    <row r="36" spans="2:26">
      <c r="B36" s="143" t="s">
        <v>376</v>
      </c>
      <c r="C36" s="144" t="s">
        <v>253</v>
      </c>
      <c r="D36" s="8" t="s">
        <v>244</v>
      </c>
      <c r="E36" s="157"/>
      <c r="F36" s="157"/>
      <c r="G36" s="157"/>
      <c r="H36" s="159"/>
      <c r="I36" s="159"/>
      <c r="J36" s="159"/>
      <c r="K36" s="159"/>
      <c r="L36" s="159"/>
      <c r="M36" s="159"/>
      <c r="N36" s="14"/>
      <c r="O36" s="37">
        <f t="shared" si="4"/>
        <v>0</v>
      </c>
      <c r="P36" s="3"/>
      <c r="T36" s="158">
        <v>28000</v>
      </c>
      <c r="U36" s="15"/>
      <c r="V36" s="158" t="s">
        <v>256</v>
      </c>
      <c r="W36" s="145" t="str">
        <f t="shared" si="9"/>
        <v>Unfilled fields on left</v>
      </c>
      <c r="X36" s="6"/>
      <c r="Y36" s="13"/>
      <c r="Z36" s="3"/>
    </row>
    <row r="37" spans="2:26">
      <c r="B37" s="143" t="s">
        <v>376</v>
      </c>
      <c r="C37" s="144" t="s">
        <v>254</v>
      </c>
      <c r="D37" s="8" t="s">
        <v>244</v>
      </c>
      <c r="E37" s="157"/>
      <c r="F37" s="157"/>
      <c r="G37" s="157"/>
      <c r="H37" s="159"/>
      <c r="I37" s="159"/>
      <c r="J37" s="159"/>
      <c r="K37" s="159"/>
      <c r="L37" s="159"/>
      <c r="M37" s="159"/>
      <c r="N37" s="14"/>
      <c r="O37" s="37">
        <f t="shared" si="4"/>
        <v>0</v>
      </c>
      <c r="P37" s="3"/>
      <c r="T37" s="158">
        <v>265000</v>
      </c>
      <c r="U37" s="15"/>
      <c r="V37" s="158" t="s">
        <v>256</v>
      </c>
      <c r="W37" s="145" t="str">
        <f t="shared" si="9"/>
        <v>Unfilled fields on left</v>
      </c>
      <c r="X37" s="6"/>
      <c r="Y37" s="13"/>
      <c r="Z37" s="3"/>
    </row>
    <row r="38" spans="2:26">
      <c r="B38" s="9"/>
      <c r="C38" s="8"/>
      <c r="D38" s="8"/>
      <c r="E38" s="157"/>
      <c r="F38" s="157"/>
      <c r="G38" s="157"/>
      <c r="H38" s="159"/>
      <c r="I38" s="159"/>
      <c r="J38" s="159"/>
      <c r="K38" s="159"/>
      <c r="L38" s="159"/>
      <c r="M38" s="159"/>
      <c r="N38" s="14"/>
      <c r="O38" s="37">
        <f t="shared" si="4"/>
        <v>0</v>
      </c>
      <c r="P38" s="3"/>
      <c r="T38" s="16"/>
      <c r="U38" s="15"/>
      <c r="V38" s="16"/>
      <c r="W38" s="145" t="str">
        <f t="shared" ref="W38" si="10">IFERROR(IF(D38="tonnes/yr", $T38*$E38/($O$17*3.6), $U38*$E38*3.6/($O$17*3.6)), "Unfilled fields on left")</f>
        <v>Unfilled fields on left</v>
      </c>
      <c r="X38" s="6"/>
      <c r="Y38" s="13"/>
      <c r="Z38" s="3"/>
    </row>
    <row r="39" spans="2:26">
      <c r="C39" s="10"/>
      <c r="D39" s="10"/>
      <c r="E39" s="11"/>
      <c r="F39" s="10"/>
      <c r="H39" s="12"/>
      <c r="I39" s="12"/>
      <c r="J39" s="12"/>
      <c r="K39" s="12"/>
      <c r="L39" s="12"/>
      <c r="M39" s="12"/>
      <c r="N39" s="12"/>
      <c r="O39" s="12"/>
      <c r="P39" s="3"/>
      <c r="T39" s="12"/>
      <c r="U39" s="15"/>
      <c r="V39" s="12"/>
      <c r="W39" s="32"/>
      <c r="Z39" s="3"/>
    </row>
    <row r="40" spans="2:26">
      <c r="P40" s="3"/>
      <c r="V40" s="29" t="s">
        <v>159</v>
      </c>
      <c r="W40" s="148">
        <f>SUM(W4:W39)</f>
        <v>0</v>
      </c>
      <c r="Z40" s="3"/>
    </row>
    <row r="41" spans="2:26">
      <c r="B41" s="142" t="s">
        <v>257</v>
      </c>
      <c r="C41" s="138"/>
      <c r="D41" s="138"/>
      <c r="E41" s="138"/>
      <c r="P41" s="3"/>
      <c r="Z41" s="3"/>
    </row>
    <row r="42" spans="2:26">
      <c r="B42" s="9" t="s">
        <v>258</v>
      </c>
      <c r="C42" s="8" t="s">
        <v>259</v>
      </c>
      <c r="D42" s="8" t="s">
        <v>160</v>
      </c>
      <c r="E42" s="9"/>
    </row>
    <row r="43" spans="2:26">
      <c r="B43" s="9" t="s">
        <v>261</v>
      </c>
      <c r="C43" s="8" t="s">
        <v>262</v>
      </c>
      <c r="D43" s="8" t="s">
        <v>263</v>
      </c>
      <c r="E43" s="9"/>
    </row>
    <row r="44" spans="2:26">
      <c r="B44" s="9" t="s">
        <v>264</v>
      </c>
      <c r="C44" s="8" t="s">
        <v>265</v>
      </c>
      <c r="D44" s="8" t="s">
        <v>263</v>
      </c>
      <c r="E44" s="9"/>
    </row>
    <row r="45" spans="2:26">
      <c r="B45" s="9"/>
      <c r="C45" s="9"/>
      <c r="D45" s="9"/>
      <c r="E45" s="9"/>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row r="54" spans="5:8">
      <c r="E54" s="3"/>
      <c r="H54" s="3"/>
    </row>
    <row r="55" spans="5:8">
      <c r="E55" s="3"/>
      <c r="H55" s="3"/>
    </row>
    <row r="56" spans="5:8">
      <c r="E56" s="3"/>
      <c r="H56" s="3"/>
    </row>
    <row r="57" spans="5:8">
      <c r="E57" s="3"/>
      <c r="H57" s="3"/>
    </row>
    <row r="58" spans="5:8">
      <c r="E58" s="3"/>
      <c r="H58" s="3"/>
    </row>
  </sheetData>
  <dataValidations count="1">
    <dataValidation type="list" allowBlank="1" showInputMessage="1" showErrorMessage="1" sqref="D5:D14 D17:D38" xr:uid="{E5DDD3D1-B932-4D52-9AD2-BEF3BEA38C02}">
      <formula1>"tonnes/yr, MWh/yr (LHV)"</formula1>
    </dataValidation>
  </dataValidations>
  <pageMargins left="0.70000000000000007" right="0.70000000000000007" top="0.75" bottom="0.75" header="0.30000000000000004" footer="0.30000000000000004"/>
  <pageSetup paperSize="9" orientation="portrait" r:id="rId1"/>
  <ignoredErrors>
    <ignoredError sqref="P5:W19 P20:S20 P38:W38 P21:W28 W29:W37" unlockedFormula="1"/>
  </ignoredError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308</v>
      </c>
      <c r="G2" s="2" t="s">
        <v>358</v>
      </c>
      <c r="H2" s="2" t="s">
        <v>164</v>
      </c>
      <c r="I2" s="2" t="s">
        <v>359</v>
      </c>
      <c r="J2" s="2" t="s">
        <v>333</v>
      </c>
      <c r="K2" s="2" t="s">
        <v>334</v>
      </c>
      <c r="L2" s="2" t="s">
        <v>306</v>
      </c>
      <c r="M2" s="2" t="s">
        <v>307</v>
      </c>
      <c r="N2" s="2" t="s">
        <v>336</v>
      </c>
      <c r="O2" s="2" t="s">
        <v>332</v>
      </c>
      <c r="P2" s="2" t="s">
        <v>330</v>
      </c>
      <c r="Q2" s="2"/>
      <c r="R2" s="30" t="s">
        <v>360</v>
      </c>
      <c r="S2" s="2" t="s">
        <v>331</v>
      </c>
      <c r="T2" s="2" t="s">
        <v>246</v>
      </c>
      <c r="U2" s="2" t="s">
        <v>335</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'Pre-processing'!C17</f>
        <v>e.g. Forestry residue pellets</v>
      </c>
      <c r="D5" s="8" t="s">
        <v>244</v>
      </c>
      <c r="E5" s="162"/>
      <c r="F5" s="157"/>
      <c r="G5" s="157"/>
      <c r="H5" s="159"/>
      <c r="I5" s="159" t="s">
        <v>176</v>
      </c>
      <c r="J5" s="162"/>
      <c r="K5" s="159"/>
      <c r="L5" s="159"/>
      <c r="M5" s="159"/>
      <c r="N5" s="14"/>
      <c r="O5" s="37">
        <f t="shared" ref="O5:O14" si="0">IF($D5="MWh/yr (LHV)",$E5,$J5*$E5*(1-$L5)/3.6)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si="0"/>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60"/>
      <c r="T15" s="160"/>
      <c r="U15" s="160"/>
      <c r="V15" s="160"/>
      <c r="W15" s="146"/>
      <c r="Y15" s="18"/>
      <c r="Z15" s="3"/>
    </row>
    <row r="16" spans="2:26">
      <c r="B16" s="142" t="s">
        <v>174</v>
      </c>
      <c r="C16" s="138"/>
      <c r="D16" s="138"/>
      <c r="E16" s="168"/>
      <c r="F16" s="169"/>
      <c r="G16" s="170"/>
      <c r="H16" s="161"/>
      <c r="I16" s="161"/>
      <c r="J16" s="161"/>
      <c r="K16" s="161"/>
      <c r="L16" s="161"/>
      <c r="M16" s="161"/>
      <c r="N16" s="141"/>
      <c r="O16" s="161"/>
      <c r="P16" s="141"/>
      <c r="Q16" s="141"/>
      <c r="R16" s="141"/>
      <c r="S16" s="141"/>
      <c r="T16" s="161"/>
      <c r="U16" s="161"/>
      <c r="V16" s="161"/>
      <c r="W16" s="141"/>
      <c r="X16" s="141"/>
      <c r="Y16" s="141"/>
      <c r="Z16" s="3"/>
    </row>
    <row r="17" spans="2:26">
      <c r="B17" s="9" t="s">
        <v>175</v>
      </c>
      <c r="C17" s="144" t="s">
        <v>267</v>
      </c>
      <c r="D17" s="8" t="s">
        <v>244</v>
      </c>
      <c r="E17" s="158"/>
      <c r="F17" s="157"/>
      <c r="G17" s="157"/>
      <c r="H17" s="157"/>
      <c r="I17" s="157" t="s">
        <v>176</v>
      </c>
      <c r="J17" s="158"/>
      <c r="K17" s="157"/>
      <c r="L17" s="157"/>
      <c r="M17" s="157"/>
      <c r="N17" s="14"/>
      <c r="O17" s="37">
        <f t="shared" ref="O17:O33" si="4">IF($D17="MWh/yr (LHV)",$E17,$J17*$E17*(1-$L17)/3.6)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363</v>
      </c>
      <c r="D18" s="8" t="s">
        <v>244</v>
      </c>
      <c r="E18" s="158"/>
      <c r="F18" s="157"/>
      <c r="G18" s="157"/>
      <c r="H18" s="159"/>
      <c r="I18" s="159"/>
      <c r="J18" s="159"/>
      <c r="K18" s="159"/>
      <c r="L18" s="159"/>
      <c r="M18" s="159"/>
      <c r="N18" s="14"/>
      <c r="O18" s="37">
        <f t="shared" si="4"/>
        <v>0</v>
      </c>
      <c r="P18" s="3"/>
      <c r="Q18" s="3"/>
      <c r="R18" s="37">
        <f>IF($D18="MWh/yr (LHV)",$E18,$E18*MAX(0, $J18*(1-$L18)-2.441*$L18)/kWh_to_MJ)</f>
        <v>0</v>
      </c>
      <c r="S18" s="173" t="str">
        <f>IFERROR(R18/(SUM($R$17:$R$19)),"")</f>
        <v/>
      </c>
      <c r="T18" s="175"/>
      <c r="U18" s="175"/>
      <c r="V18" s="175"/>
      <c r="W18" s="147"/>
      <c r="Y18" s="13"/>
    </row>
    <row r="19" spans="2:26" s="6" customFormat="1">
      <c r="B19" s="143" t="s">
        <v>179</v>
      </c>
      <c r="C19" s="144" t="s">
        <v>363</v>
      </c>
      <c r="D19" s="8" t="s">
        <v>244</v>
      </c>
      <c r="E19" s="158"/>
      <c r="F19" s="157"/>
      <c r="G19" s="157"/>
      <c r="H19" s="159"/>
      <c r="I19" s="159"/>
      <c r="J19" s="159"/>
      <c r="K19" s="159"/>
      <c r="L19" s="159"/>
      <c r="M19" s="159"/>
      <c r="N19" s="14"/>
      <c r="O19" s="37">
        <f t="shared" si="4"/>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5">IF(B20="", "", IF(D20="MWh/yr (LHV)", "Use column to right", "Enter data here"))</f>
        <v>Enter data here</v>
      </c>
      <c r="U20" s="162" t="str">
        <f t="shared" ref="U20:U23" si="6">IF(B20="", "", IF(D20="MWh/yr (LHV)", "Enter data here", "Use column to left"))</f>
        <v>Use column to left</v>
      </c>
      <c r="V20" s="158" t="s">
        <v>305</v>
      </c>
      <c r="W20" s="145" t="str">
        <f t="shared" ref="W20:W23" si="7">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5"/>
        <v>Enter data here</v>
      </c>
      <c r="U21" s="162" t="str">
        <f t="shared" si="6"/>
        <v>Use column to left</v>
      </c>
      <c r="V21" s="158" t="s">
        <v>305</v>
      </c>
      <c r="W21" s="145" t="str">
        <f t="shared" si="7"/>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5"/>
        <v>Enter data here</v>
      </c>
      <c r="U22" s="162" t="str">
        <f t="shared" si="6"/>
        <v>Use column to left</v>
      </c>
      <c r="V22" s="158" t="s">
        <v>305</v>
      </c>
      <c r="W22" s="145" t="str">
        <f t="shared" si="7"/>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5"/>
        <v>Enter data here</v>
      </c>
      <c r="U23" s="162" t="str">
        <f t="shared" si="6"/>
        <v>Use column to left</v>
      </c>
      <c r="V23" s="158" t="s">
        <v>305</v>
      </c>
      <c r="W23" s="145" t="str">
        <f t="shared" si="7"/>
        <v>Unfilled fields on left</v>
      </c>
      <c r="Y23" s="13"/>
    </row>
    <row r="24" spans="2:26" s="6" customFormat="1">
      <c r="B24" s="143" t="s">
        <v>375</v>
      </c>
      <c r="C24" s="144" t="s">
        <v>380</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376</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376</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6"/>
      <c r="U27" s="15"/>
      <c r="V27" s="16"/>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6"/>
      <c r="U28" s="15"/>
      <c r="V28" s="16"/>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6"/>
      <c r="U29" s="15"/>
      <c r="V29" s="16"/>
      <c r="W29" s="145" t="str">
        <f t="shared" ref="W29:W33" si="8">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6"/>
      <c r="U30" s="15"/>
      <c r="V30" s="16"/>
      <c r="W30" s="145" t="str">
        <f t="shared" si="8"/>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6"/>
      <c r="U31" s="15"/>
      <c r="V31" s="16"/>
      <c r="W31" s="145" t="str">
        <f t="shared" si="8"/>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6"/>
      <c r="U32" s="15"/>
      <c r="V32" s="16"/>
      <c r="W32" s="145" t="str">
        <f t="shared" si="8"/>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8"/>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E62D1ABF-2CE6-469D-B309-503EA421C07C}">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P5:W23 P25:W33 P24:U24 W24 O5:O33" unlockedFormula="1"/>
  </ignoredError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79998168889431442"/>
  </sheetPr>
  <dimension ref="B2:Z59"/>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308</v>
      </c>
      <c r="G2" s="2" t="s">
        <v>358</v>
      </c>
      <c r="H2" s="2" t="s">
        <v>164</v>
      </c>
      <c r="I2" s="2" t="s">
        <v>359</v>
      </c>
      <c r="J2" s="2" t="s">
        <v>333</v>
      </c>
      <c r="K2" s="2" t="s">
        <v>334</v>
      </c>
      <c r="L2" s="2" t="s">
        <v>306</v>
      </c>
      <c r="M2" s="2" t="s">
        <v>307</v>
      </c>
      <c r="N2" s="2" t="s">
        <v>336</v>
      </c>
      <c r="O2" s="2" t="s">
        <v>332</v>
      </c>
      <c r="P2" s="2" t="s">
        <v>330</v>
      </c>
      <c r="Q2" s="2"/>
      <c r="R2" s="30" t="s">
        <v>360</v>
      </c>
      <c r="S2" s="2" t="s">
        <v>331</v>
      </c>
      <c r="T2" s="2" t="s">
        <v>246</v>
      </c>
      <c r="U2" s="2" t="s">
        <v>335</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'Intermediate transport'!C17</f>
        <v>e.g. Forestry residue pellets</v>
      </c>
      <c r="D5" s="8" t="s">
        <v>244</v>
      </c>
      <c r="E5" s="162"/>
      <c r="F5" s="157"/>
      <c r="G5" s="157"/>
      <c r="H5" s="159"/>
      <c r="I5" s="159" t="s">
        <v>176</v>
      </c>
      <c r="J5" s="162"/>
      <c r="K5" s="159"/>
      <c r="L5" s="159"/>
      <c r="M5" s="159"/>
      <c r="N5" s="14"/>
      <c r="O5" s="37">
        <f t="shared" ref="O5:O14" si="0">IF($D5="MWh/yr (LHV)",$E5,$J5*$E5*(1-$L5)/3.6)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si="0"/>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61"/>
      <c r="X16" s="141"/>
      <c r="Y16" s="141"/>
      <c r="Z16" s="3"/>
    </row>
    <row r="17" spans="2:26">
      <c r="B17" s="9" t="s">
        <v>175</v>
      </c>
      <c r="C17" s="144" t="s">
        <v>184</v>
      </c>
      <c r="D17" s="8" t="s">
        <v>244</v>
      </c>
      <c r="E17" s="158"/>
      <c r="F17" s="157"/>
      <c r="G17" s="157"/>
      <c r="H17" s="157"/>
      <c r="I17" s="157" t="s">
        <v>176</v>
      </c>
      <c r="J17" s="158"/>
      <c r="K17" s="157"/>
      <c r="L17" s="157"/>
      <c r="M17" s="157"/>
      <c r="N17" s="14"/>
      <c r="O17" s="37">
        <f t="shared" ref="O17:O38" si="4">IF($D17="MWh/yr (LHV)",$E17,$J17*$E17*(1-$L17)/3.6)</f>
        <v>0</v>
      </c>
      <c r="P17" s="174" t="str">
        <f>IFERROR(O17/O5,"")</f>
        <v/>
      </c>
      <c r="R17" s="37">
        <f>IF($D17="MWh/yr (LHV)",$E17,$E17*MAX(0, $J17*(1-$L17)-2.441*$L17)/kWh_to_MJ)</f>
        <v>0</v>
      </c>
      <c r="S17" s="173" t="str">
        <f t="shared" ref="S17:S23" si="5">IFERROR(R17/(SUM($R$17:$R$23)),"")</f>
        <v/>
      </c>
      <c r="T17" s="175"/>
      <c r="U17" s="175"/>
      <c r="V17" s="175"/>
      <c r="W17" s="147"/>
      <c r="Y17" s="13"/>
      <c r="Z17" s="3"/>
    </row>
    <row r="18" spans="2:26" s="6" customFormat="1">
      <c r="B18" s="143" t="s">
        <v>179</v>
      </c>
      <c r="C18" s="144" t="s">
        <v>272</v>
      </c>
      <c r="D18" s="8" t="s">
        <v>244</v>
      </c>
      <c r="E18" s="158"/>
      <c r="F18" s="157"/>
      <c r="G18" s="157"/>
      <c r="H18" s="159"/>
      <c r="I18" s="159"/>
      <c r="J18" s="159"/>
      <c r="K18" s="159"/>
      <c r="L18" s="159"/>
      <c r="M18" s="159"/>
      <c r="N18" s="14"/>
      <c r="O18" s="37">
        <f t="shared" si="4"/>
        <v>0</v>
      </c>
      <c r="P18" s="3"/>
      <c r="Q18" s="3"/>
      <c r="R18" s="37">
        <f>IF($D18="MWh/yr (LHV)",$E18,$E18*MAX(0, $J18*(1-$L18)-2.441*$L18)/kWh_to_MJ)</f>
        <v>0</v>
      </c>
      <c r="S18" s="173" t="str">
        <f t="shared" si="5"/>
        <v/>
      </c>
      <c r="T18" s="175"/>
      <c r="U18" s="175"/>
      <c r="V18" s="175"/>
      <c r="W18" s="147"/>
      <c r="Y18" s="13"/>
    </row>
    <row r="19" spans="2:26" s="6" customFormat="1">
      <c r="B19" s="143" t="s">
        <v>179</v>
      </c>
      <c r="C19" s="144" t="s">
        <v>364</v>
      </c>
      <c r="D19" s="8" t="s">
        <v>244</v>
      </c>
      <c r="E19" s="157"/>
      <c r="F19" s="157"/>
      <c r="G19" s="157"/>
      <c r="H19" s="159"/>
      <c r="I19" s="159"/>
      <c r="J19" s="159"/>
      <c r="K19" s="159"/>
      <c r="L19" s="159"/>
      <c r="M19" s="159"/>
      <c r="N19" s="14"/>
      <c r="O19" s="37">
        <f t="shared" si="4"/>
        <v>0</v>
      </c>
      <c r="P19" s="3"/>
      <c r="Q19" s="3"/>
      <c r="R19" s="37">
        <f>IF($D19="MWh/yr (LHV)",$E19,$E19*MAX(0, $J19*(1-$L19)-2.441*$L19)/kWh_to_MJ)</f>
        <v>0</v>
      </c>
      <c r="S19" s="173" t="str">
        <f t="shared" si="5"/>
        <v/>
      </c>
      <c r="T19" s="175"/>
      <c r="U19" s="175"/>
      <c r="V19" s="175"/>
      <c r="W19" s="147"/>
      <c r="Y19" s="13"/>
    </row>
    <row r="20" spans="2:26" s="6" customFormat="1">
      <c r="B20" s="143" t="s">
        <v>179</v>
      </c>
      <c r="C20" s="144"/>
      <c r="D20" s="8" t="s">
        <v>244</v>
      </c>
      <c r="E20" s="157"/>
      <c r="F20" s="157"/>
      <c r="G20" s="157"/>
      <c r="H20" s="159"/>
      <c r="I20" s="159"/>
      <c r="J20" s="159"/>
      <c r="K20" s="159"/>
      <c r="L20" s="159"/>
      <c r="M20" s="159"/>
      <c r="N20" s="14"/>
      <c r="O20" s="37">
        <f t="shared" si="4"/>
        <v>0</v>
      </c>
      <c r="P20" s="3"/>
      <c r="Q20" s="3"/>
      <c r="R20" s="37">
        <f>IF($D20="MWh/yr (LHV)",$E20,$E20*MAX(0, $J20*(1-$L20)-2.441*$L20)/kWh_to_MJ)</f>
        <v>0</v>
      </c>
      <c r="S20" s="173" t="str">
        <f t="shared" si="5"/>
        <v/>
      </c>
      <c r="T20" s="175"/>
      <c r="U20" s="175"/>
      <c r="V20" s="175"/>
      <c r="W20" s="147"/>
      <c r="Y20" s="13"/>
    </row>
    <row r="21" spans="2:26" s="6" customFormat="1">
      <c r="B21" s="143" t="s">
        <v>361</v>
      </c>
      <c r="C21" s="144" t="s">
        <v>362</v>
      </c>
      <c r="D21" s="8" t="s">
        <v>245</v>
      </c>
      <c r="E21" s="158"/>
      <c r="F21" s="157"/>
      <c r="G21" s="157"/>
      <c r="H21" s="159"/>
      <c r="I21" s="159"/>
      <c r="J21" s="162" t="s">
        <v>172</v>
      </c>
      <c r="K21" s="162"/>
      <c r="L21" s="162" t="s">
        <v>172</v>
      </c>
      <c r="M21" s="159"/>
      <c r="N21" s="163"/>
      <c r="O21" s="37">
        <f t="shared" si="4"/>
        <v>0</v>
      </c>
      <c r="P21" s="3"/>
      <c r="Q21" s="3"/>
      <c r="R21" s="37">
        <f>IF($D21="MWh/yr (LHV)",$E21,$E21*MAX(0, $J21*(1-$L21)-2.441*$L21)/kWh_to_MJ)</f>
        <v>0</v>
      </c>
      <c r="S21" s="173" t="str">
        <f t="shared" si="5"/>
        <v/>
      </c>
      <c r="T21" s="175"/>
      <c r="U21" s="175"/>
      <c r="V21" s="175"/>
      <c r="W21" s="147"/>
      <c r="Y21" s="13"/>
    </row>
    <row r="22" spans="2:26" s="6" customFormat="1">
      <c r="B22" s="143" t="s">
        <v>339</v>
      </c>
      <c r="C22" s="144" t="s">
        <v>356</v>
      </c>
      <c r="D22" s="8" t="s">
        <v>245</v>
      </c>
      <c r="E22" s="158"/>
      <c r="F22" s="157"/>
      <c r="G22" s="157"/>
      <c r="H22" s="159"/>
      <c r="I22" s="159"/>
      <c r="J22" s="162" t="s">
        <v>172</v>
      </c>
      <c r="K22" s="162"/>
      <c r="L22" s="162" t="s">
        <v>172</v>
      </c>
      <c r="M22" s="159"/>
      <c r="N22" s="158" t="s">
        <v>337</v>
      </c>
      <c r="O22" s="37">
        <f t="shared" si="4"/>
        <v>0</v>
      </c>
      <c r="P22" s="3"/>
      <c r="Q22" s="3"/>
      <c r="R22" s="37">
        <f>IF($D22="MWh/yr (LHV)",$E22,$E22*MAX(0, $J22*(1-$L22)-2.441*$L22)/kWh_to_MJ)*IF(OR(N22="", NOT(ISNUMBER(N22))), 1, (N22)/(N22+273.15))</f>
        <v>0</v>
      </c>
      <c r="S22" s="173" t="str">
        <f t="shared" si="5"/>
        <v/>
      </c>
      <c r="T22" s="175"/>
      <c r="U22" s="175"/>
      <c r="V22" s="175"/>
      <c r="W22" s="147"/>
      <c r="Y22" s="13"/>
    </row>
    <row r="23" spans="2:26" s="6" customFormat="1">
      <c r="B23" s="143" t="s">
        <v>340</v>
      </c>
      <c r="C23" s="144" t="s">
        <v>357</v>
      </c>
      <c r="D23" s="8" t="s">
        <v>245</v>
      </c>
      <c r="E23" s="157"/>
      <c r="F23" s="157"/>
      <c r="G23" s="157"/>
      <c r="H23" s="159"/>
      <c r="I23" s="159"/>
      <c r="J23" s="158" t="s">
        <v>338</v>
      </c>
      <c r="K23" s="159"/>
      <c r="L23" s="162">
        <v>0</v>
      </c>
      <c r="M23" s="159"/>
      <c r="N23" s="158" t="s">
        <v>337</v>
      </c>
      <c r="O23" s="37">
        <f t="shared" si="4"/>
        <v>0</v>
      </c>
      <c r="P23" s="3"/>
      <c r="Q23" s="3"/>
      <c r="R23" s="37">
        <f>IF($D23="MWh/yr (LHV)",$E23,$E23*MAX(0, $J23*(1-$L23)-2.441*$L23)/kWh_to_MJ)*IF(OR(N23="", NOT(ISNUMBER(N23))), 1, (N23)/(N23+273.15))</f>
        <v>0</v>
      </c>
      <c r="S23" s="173" t="str">
        <f t="shared" si="5"/>
        <v/>
      </c>
      <c r="T23" s="175"/>
      <c r="U23" s="175"/>
      <c r="V23" s="175"/>
      <c r="W23" s="147"/>
      <c r="Y23" s="13"/>
    </row>
    <row r="24" spans="2:26" s="6" customFormat="1">
      <c r="B24" s="143" t="s">
        <v>177</v>
      </c>
      <c r="C24" s="144" t="s">
        <v>251</v>
      </c>
      <c r="D24" s="8" t="s">
        <v>244</v>
      </c>
      <c r="E24" s="157"/>
      <c r="F24" s="157"/>
      <c r="G24" s="157"/>
      <c r="H24" s="159"/>
      <c r="I24" s="159"/>
      <c r="J24" s="159"/>
      <c r="K24" s="159"/>
      <c r="L24" s="159"/>
      <c r="M24" s="159"/>
      <c r="N24" s="14"/>
      <c r="O24" s="37">
        <f t="shared" si="4"/>
        <v>0</v>
      </c>
      <c r="P24" s="3"/>
      <c r="Q24" s="3"/>
      <c r="R24" s="3"/>
      <c r="S24" s="3"/>
      <c r="T24" s="162" t="str">
        <f t="shared" ref="T24:T28" si="6">IF(B24="", "", IF(D24="MWh/yr (LHV)", "Use column to right", "Enter data here"))</f>
        <v>Enter data here</v>
      </c>
      <c r="U24" s="162" t="str">
        <f t="shared" ref="U24:U28" si="7">IF(B24="", "", IF(D24="MWh/yr (LHV)", "Enter data here", "Use column to left"))</f>
        <v>Use column to left</v>
      </c>
      <c r="V24" s="158" t="s">
        <v>305</v>
      </c>
      <c r="W24" s="145" t="str">
        <f t="shared" ref="W24:W28" si="8">IFERROR(IF(D24="tonnes/yr", $T24*$E24/($O$17*3.6), $U24*$E24*3.6/($O$17*3.6)), "Unfilled fields on left")</f>
        <v>Unfilled fields on left</v>
      </c>
      <c r="Y24" s="13"/>
    </row>
    <row r="25" spans="2:26" s="6" customFormat="1">
      <c r="B25" s="143" t="s">
        <v>177</v>
      </c>
      <c r="C25" s="144" t="s">
        <v>273</v>
      </c>
      <c r="D25" s="8" t="s">
        <v>244</v>
      </c>
      <c r="E25" s="157"/>
      <c r="F25" s="157"/>
      <c r="G25" s="157"/>
      <c r="H25" s="159"/>
      <c r="I25" s="159"/>
      <c r="J25" s="159"/>
      <c r="K25" s="159"/>
      <c r="L25" s="159"/>
      <c r="M25" s="159"/>
      <c r="N25" s="14"/>
      <c r="O25" s="37">
        <f t="shared" si="4"/>
        <v>0</v>
      </c>
      <c r="P25" s="3"/>
      <c r="Q25" s="3"/>
      <c r="R25" s="3"/>
      <c r="S25" s="3"/>
      <c r="T25" s="162" t="str">
        <f t="shared" si="6"/>
        <v>Enter data here</v>
      </c>
      <c r="U25" s="162" t="str">
        <f t="shared" si="7"/>
        <v>Use column to left</v>
      </c>
      <c r="V25" s="158" t="s">
        <v>305</v>
      </c>
      <c r="W25" s="145" t="str">
        <f t="shared" si="8"/>
        <v>Unfilled fields on left</v>
      </c>
      <c r="Y25" s="13"/>
    </row>
    <row r="26" spans="2:26" s="6" customFormat="1">
      <c r="B26" s="143" t="s">
        <v>177</v>
      </c>
      <c r="C26" s="144" t="s">
        <v>260</v>
      </c>
      <c r="D26" s="8" t="s">
        <v>244</v>
      </c>
      <c r="E26" s="158"/>
      <c r="F26" s="157"/>
      <c r="G26" s="157"/>
      <c r="H26" s="159"/>
      <c r="I26" s="162"/>
      <c r="J26" s="162"/>
      <c r="K26" s="159"/>
      <c r="L26" s="159"/>
      <c r="M26" s="159"/>
      <c r="N26" s="14"/>
      <c r="O26" s="37">
        <f t="shared" si="4"/>
        <v>0</v>
      </c>
      <c r="P26" s="3"/>
      <c r="Q26" s="3"/>
      <c r="R26" s="3"/>
      <c r="S26" s="3"/>
      <c r="T26" s="162" t="str">
        <f t="shared" si="6"/>
        <v>Enter data here</v>
      </c>
      <c r="U26" s="162" t="str">
        <f t="shared" si="7"/>
        <v>Use column to left</v>
      </c>
      <c r="V26" s="158" t="s">
        <v>305</v>
      </c>
      <c r="W26" s="145" t="str">
        <f t="shared" si="8"/>
        <v>Unfilled fields on left</v>
      </c>
      <c r="Y26" s="13"/>
    </row>
    <row r="27" spans="2:26" s="6" customFormat="1">
      <c r="B27" s="143" t="s">
        <v>180</v>
      </c>
      <c r="C27" s="144" t="s">
        <v>252</v>
      </c>
      <c r="D27" s="8" t="s">
        <v>244</v>
      </c>
      <c r="E27" s="157"/>
      <c r="F27" s="157"/>
      <c r="G27" s="157"/>
      <c r="H27" s="159"/>
      <c r="I27" s="159"/>
      <c r="J27" s="159"/>
      <c r="K27" s="159"/>
      <c r="L27" s="159"/>
      <c r="M27" s="159"/>
      <c r="N27" s="14"/>
      <c r="O27" s="37">
        <f t="shared" si="4"/>
        <v>0</v>
      </c>
      <c r="P27" s="3"/>
      <c r="Q27" s="3"/>
      <c r="R27" s="3"/>
      <c r="S27" s="3"/>
      <c r="T27" s="162" t="str">
        <f t="shared" si="6"/>
        <v>Enter data here</v>
      </c>
      <c r="U27" s="162" t="str">
        <f t="shared" si="7"/>
        <v>Use column to left</v>
      </c>
      <c r="V27" s="158" t="s">
        <v>305</v>
      </c>
      <c r="W27" s="145" t="str">
        <f t="shared" si="8"/>
        <v>Unfilled fields on left</v>
      </c>
      <c r="Y27" s="13"/>
    </row>
    <row r="28" spans="2:26" s="6" customFormat="1">
      <c r="B28" s="143" t="s">
        <v>180</v>
      </c>
      <c r="C28" s="144" t="s">
        <v>181</v>
      </c>
      <c r="D28" s="8" t="s">
        <v>244</v>
      </c>
      <c r="E28" s="157"/>
      <c r="F28" s="157"/>
      <c r="G28" s="157"/>
      <c r="H28" s="159"/>
      <c r="I28" s="159"/>
      <c r="J28" s="159"/>
      <c r="K28" s="159"/>
      <c r="L28" s="159"/>
      <c r="M28" s="159"/>
      <c r="N28" s="14"/>
      <c r="O28" s="37">
        <f t="shared" si="4"/>
        <v>0</v>
      </c>
      <c r="P28" s="3"/>
      <c r="Q28" s="3"/>
      <c r="R28" s="3"/>
      <c r="S28" s="3"/>
      <c r="T28" s="162" t="str">
        <f t="shared" si="6"/>
        <v>Enter data here</v>
      </c>
      <c r="U28" s="162" t="str">
        <f t="shared" si="7"/>
        <v>Use column to left</v>
      </c>
      <c r="V28" s="158" t="s">
        <v>305</v>
      </c>
      <c r="W28" s="145" t="str">
        <f t="shared" si="8"/>
        <v>Unfilled fields on left</v>
      </c>
      <c r="Y28" s="13"/>
    </row>
    <row r="29" spans="2:26" s="6" customFormat="1">
      <c r="B29" s="143" t="s">
        <v>375</v>
      </c>
      <c r="C29" s="144" t="s">
        <v>368</v>
      </c>
      <c r="D29" s="8" t="s">
        <v>244</v>
      </c>
      <c r="E29" s="157"/>
      <c r="F29" s="157"/>
      <c r="G29" s="157"/>
      <c r="H29" s="159"/>
      <c r="I29" s="159"/>
      <c r="J29" s="159"/>
      <c r="K29" s="159"/>
      <c r="L29" s="159"/>
      <c r="M29" s="159"/>
      <c r="N29" s="14"/>
      <c r="O29" s="37">
        <f t="shared" si="4"/>
        <v>0</v>
      </c>
      <c r="P29" s="3"/>
      <c r="Q29" s="3"/>
      <c r="R29" s="3"/>
      <c r="S29" s="3"/>
      <c r="T29" s="158">
        <v>0</v>
      </c>
      <c r="U29" s="175"/>
      <c r="V29" s="158" t="s">
        <v>271</v>
      </c>
      <c r="W29" s="145" t="str">
        <f>IFERROR(IF(D29="tonnes/yr", $T29*$E29/($O$17*3.6), $U29*$E29*3.6/($O$17*3.6)), "Unfilled fields on left")</f>
        <v>Unfilled fields on left</v>
      </c>
      <c r="Y29" s="13"/>
    </row>
    <row r="30" spans="2:26" s="6" customFormat="1">
      <c r="B30" s="143" t="s">
        <v>375</v>
      </c>
      <c r="C30" s="144" t="s">
        <v>369</v>
      </c>
      <c r="D30" s="8" t="s">
        <v>244</v>
      </c>
      <c r="E30" s="157"/>
      <c r="F30" s="157"/>
      <c r="G30" s="157"/>
      <c r="H30" s="159"/>
      <c r="I30" s="159"/>
      <c r="J30" s="159"/>
      <c r="K30" s="159"/>
      <c r="L30" s="159"/>
      <c r="M30" s="159"/>
      <c r="N30" s="14"/>
      <c r="O30" s="37">
        <f t="shared" si="4"/>
        <v>0</v>
      </c>
      <c r="P30" s="3"/>
      <c r="Q30" s="3"/>
      <c r="R30" s="3"/>
      <c r="S30" s="3"/>
      <c r="T30" s="158">
        <v>0</v>
      </c>
      <c r="U30" s="175"/>
      <c r="V30" s="158" t="s">
        <v>367</v>
      </c>
      <c r="W30" s="145" t="str">
        <f>IFERROR(IF(D30="tonnes/yr", $T30*$E30/($O$17*3.6), $U30*$E30*3.6/($O$17*3.6)), "Unfilled fields on left")</f>
        <v>Unfilled fields on left</v>
      </c>
      <c r="Y30" s="13"/>
    </row>
    <row r="31" spans="2:26" s="6" customFormat="1">
      <c r="B31" s="143" t="s">
        <v>375</v>
      </c>
      <c r="C31" s="144" t="s">
        <v>370</v>
      </c>
      <c r="D31" s="8" t="s">
        <v>244</v>
      </c>
      <c r="E31" s="157"/>
      <c r="F31" s="157"/>
      <c r="G31" s="157"/>
      <c r="H31" s="159"/>
      <c r="I31" s="159"/>
      <c r="J31" s="159"/>
      <c r="K31" s="159"/>
      <c r="L31" s="159"/>
      <c r="M31" s="159"/>
      <c r="N31" s="14"/>
      <c r="O31" s="37">
        <f t="shared" si="4"/>
        <v>0</v>
      </c>
      <c r="P31" s="3"/>
      <c r="Q31" s="3"/>
      <c r="R31" s="3"/>
      <c r="S31" s="3"/>
      <c r="T31" s="158">
        <v>1000</v>
      </c>
      <c r="U31" s="175"/>
      <c r="V31" s="158" t="s">
        <v>371</v>
      </c>
      <c r="W31" s="145" t="str">
        <f>IFERROR(IF(D31="tonnes/yr", $T31*$E31/($O$17*3.6), $U31*$E31*3.6/($O$17*3.6)), "Unfilled fields on left")</f>
        <v>Unfilled fields on left</v>
      </c>
      <c r="Y31" s="13"/>
    </row>
    <row r="32" spans="2:26" s="6" customFormat="1">
      <c r="B32" s="143" t="s">
        <v>373</v>
      </c>
      <c r="C32" s="144" t="s">
        <v>268</v>
      </c>
      <c r="D32" s="8" t="s">
        <v>244</v>
      </c>
      <c r="E32" s="157"/>
      <c r="F32" s="157"/>
      <c r="G32" s="157"/>
      <c r="H32" s="159"/>
      <c r="I32" s="159"/>
      <c r="J32" s="159"/>
      <c r="K32" s="159"/>
      <c r="L32" s="159"/>
      <c r="M32" s="159"/>
      <c r="N32" s="14"/>
      <c r="O32" s="37">
        <f t="shared" si="4"/>
        <v>0</v>
      </c>
      <c r="P32" s="3"/>
      <c r="Q32" s="3"/>
      <c r="R32" s="3"/>
      <c r="S32" s="3"/>
      <c r="T32" s="158">
        <v>-1000</v>
      </c>
      <c r="U32" s="175"/>
      <c r="V32" s="158" t="s">
        <v>372</v>
      </c>
      <c r="W32" s="145" t="str">
        <f>IFERROR(IF(D32="tonnes/yr", $T32*$E32/($O$17*3.6), $U32*$E32*3.6/($O$17*3.6)), "Unfilled fields on left")</f>
        <v>Unfilled fields on left</v>
      </c>
      <c r="Y32" s="13"/>
    </row>
    <row r="33" spans="2:26" s="6" customFormat="1">
      <c r="B33" s="143" t="s">
        <v>373</v>
      </c>
      <c r="C33" s="144" t="s">
        <v>269</v>
      </c>
      <c r="D33" s="8" t="s">
        <v>244</v>
      </c>
      <c r="E33" s="157"/>
      <c r="F33" s="157"/>
      <c r="G33" s="157"/>
      <c r="H33" s="159"/>
      <c r="I33" s="159"/>
      <c r="J33" s="159"/>
      <c r="K33" s="159"/>
      <c r="L33" s="159"/>
      <c r="M33" s="159"/>
      <c r="N33" s="14"/>
      <c r="O33" s="37">
        <f t="shared" si="4"/>
        <v>0</v>
      </c>
      <c r="P33" s="3"/>
      <c r="Q33" s="3"/>
      <c r="R33" s="3"/>
      <c r="S33" s="3"/>
      <c r="T33" s="158">
        <v>-1000</v>
      </c>
      <c r="U33" s="175"/>
      <c r="V33" s="158" t="s">
        <v>377</v>
      </c>
      <c r="W33" s="145" t="str">
        <f>IFERROR(IF(D33="tonnes/yr", $T33*$E33/($O$17*3.6), $U33*$E33*3.6/($O$17*3.6)), "Unfilled fields on left")</f>
        <v>Unfilled fields on left</v>
      </c>
      <c r="Y33" s="13"/>
    </row>
    <row r="34" spans="2:26">
      <c r="B34" s="143" t="s">
        <v>374</v>
      </c>
      <c r="C34" s="144" t="s">
        <v>378</v>
      </c>
      <c r="D34" s="8" t="s">
        <v>244</v>
      </c>
      <c r="E34" s="157"/>
      <c r="F34" s="157"/>
      <c r="G34" s="157"/>
      <c r="H34" s="159"/>
      <c r="I34" s="159"/>
      <c r="J34" s="159"/>
      <c r="K34" s="159"/>
      <c r="L34" s="159"/>
      <c r="M34" s="159"/>
      <c r="N34" s="14"/>
      <c r="O34" s="37">
        <f t="shared" si="4"/>
        <v>0</v>
      </c>
      <c r="P34" s="3"/>
      <c r="T34" s="158">
        <v>-1000</v>
      </c>
      <c r="U34" s="175"/>
      <c r="V34" s="158" t="s">
        <v>379</v>
      </c>
      <c r="W34" s="145" t="str">
        <f t="shared" ref="W34:W37" si="9">IFERROR(IF(D34="tonnes/yr", $T34*$E34/($O$17*3.6), $U34*$E34*3.6/($O$17*3.6)), "Unfilled fields on left")</f>
        <v>Unfilled fields on left</v>
      </c>
      <c r="X34" s="6"/>
      <c r="Y34" s="13"/>
      <c r="Z34" s="3"/>
    </row>
    <row r="35" spans="2:26">
      <c r="B35" s="143" t="s">
        <v>374</v>
      </c>
      <c r="C35" s="144" t="s">
        <v>366</v>
      </c>
      <c r="D35" s="8" t="s">
        <v>244</v>
      </c>
      <c r="E35" s="157"/>
      <c r="F35" s="157"/>
      <c r="G35" s="157"/>
      <c r="H35" s="159"/>
      <c r="I35" s="159"/>
      <c r="J35" s="159"/>
      <c r="K35" s="159"/>
      <c r="L35" s="159"/>
      <c r="M35" s="159"/>
      <c r="N35" s="14"/>
      <c r="O35" s="37">
        <f t="shared" si="4"/>
        <v>0</v>
      </c>
      <c r="P35" s="3"/>
      <c r="T35" s="158">
        <v>0</v>
      </c>
      <c r="U35" s="175"/>
      <c r="V35" s="158" t="s">
        <v>365</v>
      </c>
      <c r="W35" s="145" t="str">
        <f t="shared" si="9"/>
        <v>Unfilled fields on left</v>
      </c>
      <c r="X35" s="6"/>
      <c r="Y35" s="13"/>
      <c r="Z35" s="3"/>
    </row>
    <row r="36" spans="2:26">
      <c r="B36" s="143" t="s">
        <v>376</v>
      </c>
      <c r="C36" s="144" t="s">
        <v>253</v>
      </c>
      <c r="D36" s="8" t="s">
        <v>244</v>
      </c>
      <c r="E36" s="157"/>
      <c r="F36" s="157"/>
      <c r="G36" s="157"/>
      <c r="H36" s="159"/>
      <c r="I36" s="159"/>
      <c r="J36" s="159"/>
      <c r="K36" s="159"/>
      <c r="L36" s="159"/>
      <c r="M36" s="159"/>
      <c r="N36" s="14"/>
      <c r="O36" s="37">
        <f t="shared" si="4"/>
        <v>0</v>
      </c>
      <c r="P36" s="3"/>
      <c r="T36" s="158">
        <v>28000</v>
      </c>
      <c r="U36" s="175"/>
      <c r="V36" s="158" t="s">
        <v>256</v>
      </c>
      <c r="W36" s="145" t="str">
        <f t="shared" si="9"/>
        <v>Unfilled fields on left</v>
      </c>
      <c r="X36" s="6"/>
      <c r="Y36" s="13"/>
      <c r="Z36" s="3"/>
    </row>
    <row r="37" spans="2:26">
      <c r="B37" s="143" t="s">
        <v>376</v>
      </c>
      <c r="C37" s="144" t="s">
        <v>254</v>
      </c>
      <c r="D37" s="8" t="s">
        <v>244</v>
      </c>
      <c r="E37" s="157"/>
      <c r="F37" s="157"/>
      <c r="G37" s="157"/>
      <c r="H37" s="159"/>
      <c r="I37" s="159"/>
      <c r="J37" s="159"/>
      <c r="K37" s="159"/>
      <c r="L37" s="159"/>
      <c r="M37" s="159"/>
      <c r="N37" s="14"/>
      <c r="O37" s="37">
        <f t="shared" si="4"/>
        <v>0</v>
      </c>
      <c r="P37" s="3"/>
      <c r="T37" s="158">
        <v>265000</v>
      </c>
      <c r="U37" s="15"/>
      <c r="V37" s="158" t="s">
        <v>256</v>
      </c>
      <c r="W37" s="145" t="str">
        <f t="shared" si="9"/>
        <v>Unfilled fields on left</v>
      </c>
      <c r="X37" s="6"/>
      <c r="Y37" s="13"/>
      <c r="Z37" s="3"/>
    </row>
    <row r="38" spans="2:26">
      <c r="B38" s="9"/>
      <c r="C38" s="8"/>
      <c r="D38" s="8"/>
      <c r="E38" s="157"/>
      <c r="F38" s="157"/>
      <c r="G38" s="157"/>
      <c r="H38" s="159"/>
      <c r="I38" s="159"/>
      <c r="J38" s="159"/>
      <c r="K38" s="159"/>
      <c r="L38" s="159"/>
      <c r="M38" s="159"/>
      <c r="N38" s="14"/>
      <c r="O38" s="37">
        <f t="shared" si="4"/>
        <v>0</v>
      </c>
      <c r="P38" s="3"/>
      <c r="T38" s="16"/>
      <c r="U38" s="15"/>
      <c r="V38" s="16"/>
      <c r="W38" s="145" t="str">
        <f t="shared" ref="W38" si="10">IFERROR(IF(D38="tonnes/yr", $T38*$E38/($O$17*3.6), $U38*$E38*3.6/($O$17*3.6)), "Unfilled fields on left")</f>
        <v>Unfilled fields on left</v>
      </c>
      <c r="X38" s="6"/>
      <c r="Y38" s="13"/>
      <c r="Z38" s="3"/>
    </row>
    <row r="39" spans="2:26">
      <c r="C39" s="10"/>
      <c r="D39" s="10"/>
      <c r="E39" s="11"/>
      <c r="F39" s="10"/>
      <c r="H39" s="12"/>
      <c r="I39" s="12"/>
      <c r="J39" s="12"/>
      <c r="K39" s="12"/>
      <c r="L39" s="12"/>
      <c r="M39" s="12"/>
      <c r="N39" s="12"/>
      <c r="O39" s="12"/>
      <c r="P39" s="3"/>
      <c r="T39" s="12"/>
      <c r="U39" s="15"/>
      <c r="V39" s="12"/>
      <c r="W39" s="32"/>
      <c r="Z39" s="3"/>
    </row>
    <row r="40" spans="2:26">
      <c r="P40" s="3"/>
      <c r="V40" s="29" t="s">
        <v>159</v>
      </c>
      <c r="W40" s="148">
        <f>SUM(W4:W39)</f>
        <v>0</v>
      </c>
      <c r="Z40" s="3"/>
    </row>
    <row r="41" spans="2:26">
      <c r="B41" s="142" t="s">
        <v>257</v>
      </c>
      <c r="C41" s="138"/>
      <c r="D41" s="138"/>
      <c r="E41" s="138"/>
      <c r="P41" s="3"/>
      <c r="Z41" s="3"/>
    </row>
    <row r="42" spans="2:26">
      <c r="B42" s="9" t="s">
        <v>258</v>
      </c>
      <c r="C42" s="8" t="s">
        <v>259</v>
      </c>
      <c r="D42" s="8" t="s">
        <v>160</v>
      </c>
      <c r="E42" s="9"/>
    </row>
    <row r="43" spans="2:26">
      <c r="B43" s="9" t="s">
        <v>261</v>
      </c>
      <c r="C43" s="8" t="s">
        <v>262</v>
      </c>
      <c r="D43" s="8" t="s">
        <v>263</v>
      </c>
      <c r="E43" s="9"/>
    </row>
    <row r="44" spans="2:26">
      <c r="B44" s="9" t="s">
        <v>264</v>
      </c>
      <c r="C44" s="8" t="s">
        <v>265</v>
      </c>
      <c r="D44" s="8" t="s">
        <v>263</v>
      </c>
      <c r="E44" s="9"/>
    </row>
    <row r="45" spans="2:26">
      <c r="B45" s="9"/>
      <c r="C45" s="9"/>
      <c r="D45" s="9"/>
      <c r="E45" s="9"/>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row r="54" spans="5:8">
      <c r="E54" s="3"/>
      <c r="H54" s="3"/>
    </row>
    <row r="55" spans="5:8">
      <c r="E55" s="3"/>
      <c r="H55" s="3"/>
    </row>
    <row r="56" spans="5:8">
      <c r="E56" s="3"/>
      <c r="H56" s="3"/>
    </row>
    <row r="57" spans="5:8">
      <c r="E57" s="3"/>
      <c r="H57" s="3"/>
    </row>
    <row r="58" spans="5:8">
      <c r="E58" s="3"/>
      <c r="H58" s="3"/>
    </row>
    <row r="59" spans="5:8">
      <c r="E59" s="3"/>
      <c r="H59" s="3"/>
    </row>
  </sheetData>
  <sheetProtection formatColumns="0" formatRows="0" insertRows="0" deleteRows="0"/>
  <dataValidations count="1">
    <dataValidation type="list" allowBlank="1" showInputMessage="1" showErrorMessage="1" sqref="D5:D14 D17:D38" xr:uid="{229CD3C3-50D1-42C0-B331-23DF1EE5B4DC}">
      <formula1>"tonnes/yr, MWh/yr (LHV)"</formula1>
    </dataValidation>
  </dataValidations>
  <pageMargins left="0.70000000000000007" right="0.70000000000000007" top="0.75" bottom="0.75" header="0.30000000000000004" footer="0.30000000000000004"/>
  <pageSetup paperSize="9" orientation="portrait" r:id="rId1"/>
  <ignoredErrors>
    <ignoredError sqref="P38:W38 P5:W21 P29:W37 P23:W28 P22:Q22 S22:W22" unlockedFormula="1"/>
  </ignoredError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308</v>
      </c>
      <c r="G2" s="2" t="s">
        <v>358</v>
      </c>
      <c r="H2" s="2" t="s">
        <v>164</v>
      </c>
      <c r="I2" s="2" t="s">
        <v>359</v>
      </c>
      <c r="J2" s="2" t="s">
        <v>333</v>
      </c>
      <c r="K2" s="2" t="s">
        <v>334</v>
      </c>
      <c r="L2" s="2" t="s">
        <v>306</v>
      </c>
      <c r="M2" s="2" t="s">
        <v>307</v>
      </c>
      <c r="N2" s="2" t="s">
        <v>336</v>
      </c>
      <c r="O2" s="2" t="s">
        <v>332</v>
      </c>
      <c r="P2" s="2" t="s">
        <v>330</v>
      </c>
      <c r="Q2" s="2"/>
      <c r="R2" s="30" t="s">
        <v>360</v>
      </c>
      <c r="S2" s="2" t="s">
        <v>331</v>
      </c>
      <c r="T2" s="2" t="s">
        <v>246</v>
      </c>
      <c r="U2" s="2" t="s">
        <v>335</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Conversion!C17</f>
        <v>e.g. FT waxes</v>
      </c>
      <c r="D5" s="8" t="s">
        <v>244</v>
      </c>
      <c r="E5" s="162"/>
      <c r="F5" s="157"/>
      <c r="G5" s="157"/>
      <c r="H5" s="159"/>
      <c r="I5" s="159" t="s">
        <v>176</v>
      </c>
      <c r="J5" s="162"/>
      <c r="K5" s="159"/>
      <c r="L5" s="159"/>
      <c r="M5" s="159"/>
      <c r="N5" s="14"/>
      <c r="O5" s="37">
        <f t="shared" ref="O5:O14" si="0">IF($D5="MWh/yr (LHV)",$E5,$J5*$E5*(1-$L5)/3.6)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si="0"/>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60"/>
      <c r="T15" s="160"/>
      <c r="U15" s="160"/>
      <c r="V15" s="160"/>
      <c r="W15" s="146"/>
      <c r="Y15" s="18"/>
      <c r="Z15" s="3"/>
    </row>
    <row r="16" spans="2:26">
      <c r="B16" s="142" t="s">
        <v>174</v>
      </c>
      <c r="C16" s="138"/>
      <c r="D16" s="138"/>
      <c r="E16" s="168"/>
      <c r="F16" s="169"/>
      <c r="G16" s="170"/>
      <c r="H16" s="161"/>
      <c r="I16" s="161"/>
      <c r="J16" s="161"/>
      <c r="K16" s="161"/>
      <c r="L16" s="161"/>
      <c r="M16" s="161"/>
      <c r="N16" s="141"/>
      <c r="O16" s="161"/>
      <c r="P16" s="141"/>
      <c r="Q16" s="141"/>
      <c r="R16" s="141"/>
      <c r="S16" s="141"/>
      <c r="T16" s="161"/>
      <c r="U16" s="161"/>
      <c r="V16" s="161"/>
      <c r="W16" s="161"/>
      <c r="X16" s="141"/>
      <c r="Y16" s="141"/>
      <c r="Z16" s="3"/>
    </row>
    <row r="17" spans="2:26">
      <c r="B17" s="9" t="s">
        <v>175</v>
      </c>
      <c r="C17" s="144" t="s">
        <v>184</v>
      </c>
      <c r="D17" s="8" t="s">
        <v>244</v>
      </c>
      <c r="E17" s="158"/>
      <c r="F17" s="157"/>
      <c r="G17" s="157"/>
      <c r="H17" s="157"/>
      <c r="I17" s="157" t="s">
        <v>176</v>
      </c>
      <c r="J17" s="158"/>
      <c r="K17" s="157"/>
      <c r="L17" s="157"/>
      <c r="M17" s="157"/>
      <c r="N17" s="14"/>
      <c r="O17" s="37">
        <f t="shared" ref="O17:O33" si="4">IF($D17="MWh/yr (LHV)",$E17,$J17*$E17*(1-$L17)/3.6)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363</v>
      </c>
      <c r="D18" s="8" t="s">
        <v>244</v>
      </c>
      <c r="E18" s="158"/>
      <c r="F18" s="157"/>
      <c r="G18" s="157"/>
      <c r="H18" s="159"/>
      <c r="I18" s="159"/>
      <c r="J18" s="159"/>
      <c r="K18" s="159"/>
      <c r="L18" s="159"/>
      <c r="M18" s="159"/>
      <c r="N18" s="14"/>
      <c r="O18" s="37">
        <f t="shared" si="4"/>
        <v>0</v>
      </c>
      <c r="P18" s="3"/>
      <c r="Q18" s="3"/>
      <c r="R18" s="37">
        <f>IF($D18="MWh/yr (LHV)",$E18,$E18*MAX(0, $J18*(1-$L18)-2.441*$L18)/kWh_to_MJ)</f>
        <v>0</v>
      </c>
      <c r="S18" s="173" t="str">
        <f>IFERROR(R18/(SUM($R$17:$R$19)),"")</f>
        <v/>
      </c>
      <c r="T18" s="175"/>
      <c r="U18" s="175"/>
      <c r="V18" s="175"/>
      <c r="W18" s="147"/>
      <c r="Y18" s="13"/>
    </row>
    <row r="19" spans="2:26" s="6" customFormat="1">
      <c r="B19" s="143" t="s">
        <v>179</v>
      </c>
      <c r="C19" s="144" t="s">
        <v>363</v>
      </c>
      <c r="D19" s="8" t="s">
        <v>244</v>
      </c>
      <c r="E19" s="157"/>
      <c r="F19" s="157"/>
      <c r="G19" s="157"/>
      <c r="H19" s="159"/>
      <c r="I19" s="159"/>
      <c r="J19" s="159"/>
      <c r="K19" s="159"/>
      <c r="L19" s="159"/>
      <c r="M19" s="159"/>
      <c r="N19" s="14"/>
      <c r="O19" s="37">
        <f t="shared" si="4"/>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5">IF(B20="", "", IF(D20="MWh/yr (LHV)", "Use column to right", "Enter data here"))</f>
        <v>Enter data here</v>
      </c>
      <c r="U20" s="162" t="str">
        <f t="shared" ref="U20:U23" si="6">IF(B20="", "", IF(D20="MWh/yr (LHV)", "Enter data here", "Use column to left"))</f>
        <v>Use column to left</v>
      </c>
      <c r="V20" s="158" t="s">
        <v>305</v>
      </c>
      <c r="W20" s="145" t="str">
        <f t="shared" ref="W20:W23" si="7">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5"/>
        <v>Enter data here</v>
      </c>
      <c r="U21" s="162" t="str">
        <f t="shared" si="6"/>
        <v>Use column to left</v>
      </c>
      <c r="V21" s="158" t="s">
        <v>305</v>
      </c>
      <c r="W21" s="145" t="str">
        <f t="shared" si="7"/>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5"/>
        <v>Enter data here</v>
      </c>
      <c r="U22" s="162" t="str">
        <f t="shared" si="6"/>
        <v>Use column to left</v>
      </c>
      <c r="V22" s="158" t="s">
        <v>305</v>
      </c>
      <c r="W22" s="145" t="str">
        <f t="shared" si="7"/>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5"/>
        <v>Enter data here</v>
      </c>
      <c r="U23" s="162" t="str">
        <f t="shared" si="6"/>
        <v>Use column to left</v>
      </c>
      <c r="V23" s="158" t="s">
        <v>305</v>
      </c>
      <c r="W23" s="145" t="str">
        <f t="shared" si="7"/>
        <v>Unfilled fields on left</v>
      </c>
      <c r="Y23" s="13"/>
    </row>
    <row r="24" spans="2:26" s="6" customFormat="1">
      <c r="B24" s="143" t="s">
        <v>375</v>
      </c>
      <c r="C24" s="144" t="s">
        <v>380</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376</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376</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58"/>
      <c r="U27" s="175"/>
      <c r="V27" s="158"/>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58"/>
      <c r="U28" s="175"/>
      <c r="V28" s="158"/>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58"/>
      <c r="U29" s="175"/>
      <c r="V29" s="158"/>
      <c r="W29" s="145" t="str">
        <f t="shared" ref="W29:W33" si="8">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58"/>
      <c r="U30" s="175"/>
      <c r="V30" s="158"/>
      <c r="W30" s="145" t="str">
        <f t="shared" si="8"/>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58"/>
      <c r="U31" s="175"/>
      <c r="V31" s="158"/>
      <c r="W31" s="145" t="str">
        <f t="shared" si="8"/>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58"/>
      <c r="U32" s="175"/>
      <c r="V32" s="158"/>
      <c r="W32" s="145" t="str">
        <f t="shared" si="8"/>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8"/>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C7C3EE57-5175-47BE-B711-751375A9BB62}">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P5:W23 P25:W33 P24:U24 W24 O5:O33" unlockedFormula="1"/>
  </ignoredError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79998168889431442"/>
  </sheetPr>
  <dimension ref="B2:Z58"/>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308</v>
      </c>
      <c r="G2" s="2" t="s">
        <v>358</v>
      </c>
      <c r="H2" s="2" t="s">
        <v>164</v>
      </c>
      <c r="I2" s="2" t="s">
        <v>359</v>
      </c>
      <c r="J2" s="2" t="s">
        <v>333</v>
      </c>
      <c r="K2" s="2" t="s">
        <v>334</v>
      </c>
      <c r="L2" s="2" t="s">
        <v>306</v>
      </c>
      <c r="M2" s="2" t="s">
        <v>307</v>
      </c>
      <c r="N2" s="2" t="s">
        <v>336</v>
      </c>
      <c r="O2" s="2" t="s">
        <v>332</v>
      </c>
      <c r="P2" s="2" t="s">
        <v>330</v>
      </c>
      <c r="Q2" s="2"/>
      <c r="R2" s="30" t="s">
        <v>360</v>
      </c>
      <c r="S2" s="2" t="s">
        <v>331</v>
      </c>
      <c r="T2" s="2" t="s">
        <v>246</v>
      </c>
      <c r="U2" s="2" t="s">
        <v>335</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'Further transport'!C17</f>
        <v>e.g. FT waxes</v>
      </c>
      <c r="D5" s="8" t="s">
        <v>244</v>
      </c>
      <c r="E5" s="162"/>
      <c r="F5" s="157"/>
      <c r="G5" s="157"/>
      <c r="H5" s="159"/>
      <c r="I5" s="159" t="s">
        <v>176</v>
      </c>
      <c r="J5" s="162"/>
      <c r="K5" s="159"/>
      <c r="L5" s="159"/>
      <c r="M5" s="159"/>
      <c r="N5" s="14"/>
      <c r="O5" s="37">
        <f t="shared" ref="O5:O14" si="0">IF($D5="MWh/yr (LHV)",$E5,$J5*$E5*(1-$L5)/3.6)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si="0"/>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61"/>
      <c r="X16" s="141"/>
      <c r="Y16" s="141"/>
      <c r="Z16" s="3"/>
    </row>
    <row r="17" spans="2:26">
      <c r="B17" s="9" t="s">
        <v>175</v>
      </c>
      <c r="C17" s="144" t="s">
        <v>266</v>
      </c>
      <c r="D17" s="8" t="s">
        <v>244</v>
      </c>
      <c r="E17" s="158"/>
      <c r="F17" s="157"/>
      <c r="G17" s="157"/>
      <c r="H17" s="157"/>
      <c r="I17" s="157" t="s">
        <v>176</v>
      </c>
      <c r="J17" s="158"/>
      <c r="K17" s="157"/>
      <c r="L17" s="157"/>
      <c r="M17" s="157"/>
      <c r="N17" s="14"/>
      <c r="O17" s="37">
        <f t="shared" ref="O17:O38" si="4">IF($D17="MWh/yr (LHV)",$E17,$J17*$E17*(1-$L17)/3.6)</f>
        <v>0</v>
      </c>
      <c r="P17" s="174" t="str">
        <f>IFERROR(O17/O5,"")</f>
        <v/>
      </c>
      <c r="R17" s="37">
        <f>IF($D17="MWh/yr (LHV)",$E17,$E17*MAX(0, $J17*(1-$L17)-2.441*$L17)/kWh_to_MJ)</f>
        <v>0</v>
      </c>
      <c r="S17" s="173" t="str">
        <f t="shared" ref="S17:S23" si="5">IFERROR(R17/(SUM($R$17:$R$23)),"")</f>
        <v/>
      </c>
      <c r="T17" s="175"/>
      <c r="U17" s="175"/>
      <c r="V17" s="175"/>
      <c r="W17" s="147"/>
      <c r="Y17" s="13"/>
      <c r="Z17" s="3"/>
    </row>
    <row r="18" spans="2:26" s="6" customFormat="1">
      <c r="B18" s="143" t="s">
        <v>179</v>
      </c>
      <c r="C18" s="144" t="s">
        <v>272</v>
      </c>
      <c r="D18" s="8" t="s">
        <v>244</v>
      </c>
      <c r="E18" s="158"/>
      <c r="F18" s="157"/>
      <c r="G18" s="157"/>
      <c r="H18" s="159"/>
      <c r="I18" s="159"/>
      <c r="J18" s="159"/>
      <c r="K18" s="159"/>
      <c r="L18" s="159"/>
      <c r="M18" s="159"/>
      <c r="N18" s="14"/>
      <c r="O18" s="37">
        <f t="shared" si="4"/>
        <v>0</v>
      </c>
      <c r="P18" s="3"/>
      <c r="Q18" s="3"/>
      <c r="R18" s="37">
        <f>IF($D18="MWh/yr (LHV)",$E18,$E18*MAX(0, $J18*(1-$L18)-2.441*$L18)/kWh_to_MJ)</f>
        <v>0</v>
      </c>
      <c r="S18" s="173" t="str">
        <f t="shared" si="5"/>
        <v/>
      </c>
      <c r="T18" s="175"/>
      <c r="U18" s="175"/>
      <c r="V18" s="175"/>
      <c r="W18" s="147"/>
      <c r="Y18" s="13"/>
    </row>
    <row r="19" spans="2:26" s="6" customFormat="1">
      <c r="B19" s="143" t="s">
        <v>179</v>
      </c>
      <c r="C19" s="144" t="s">
        <v>173</v>
      </c>
      <c r="D19" s="8" t="s">
        <v>244</v>
      </c>
      <c r="E19" s="157"/>
      <c r="F19" s="157"/>
      <c r="G19" s="157"/>
      <c r="H19" s="159"/>
      <c r="I19" s="159"/>
      <c r="J19" s="159"/>
      <c r="K19" s="159"/>
      <c r="L19" s="159"/>
      <c r="M19" s="159"/>
      <c r="N19" s="14"/>
      <c r="O19" s="37">
        <f t="shared" si="4"/>
        <v>0</v>
      </c>
      <c r="P19" s="3"/>
      <c r="Q19" s="3"/>
      <c r="R19" s="37">
        <f>IF($D19="MWh/yr (LHV)",$E19,$E19*MAX(0, $J19*(1-$L19)-2.441*$L19)/kWh_to_MJ)</f>
        <v>0</v>
      </c>
      <c r="S19" s="173" t="str">
        <f t="shared" si="5"/>
        <v/>
      </c>
      <c r="T19" s="175"/>
      <c r="U19" s="175"/>
      <c r="V19" s="175"/>
      <c r="W19" s="147"/>
      <c r="Y19" s="13"/>
    </row>
    <row r="20" spans="2:26" s="6" customFormat="1">
      <c r="B20" s="143" t="s">
        <v>179</v>
      </c>
      <c r="C20" s="144"/>
      <c r="D20" s="8" t="s">
        <v>244</v>
      </c>
      <c r="E20" s="157"/>
      <c r="F20" s="157"/>
      <c r="G20" s="157"/>
      <c r="H20" s="159"/>
      <c r="I20" s="159"/>
      <c r="J20" s="159"/>
      <c r="K20" s="159"/>
      <c r="L20" s="159"/>
      <c r="M20" s="159"/>
      <c r="N20" s="14"/>
      <c r="O20" s="37">
        <f t="shared" si="4"/>
        <v>0</v>
      </c>
      <c r="P20" s="3"/>
      <c r="Q20" s="3"/>
      <c r="R20" s="37">
        <f>IF($D20="MWh/yr (LHV)",$E20,$E20*MAX(0, $J20*(1-$L20)-2.441*$L20)/kWh_to_MJ)</f>
        <v>0</v>
      </c>
      <c r="S20" s="173" t="str">
        <f t="shared" si="5"/>
        <v/>
      </c>
      <c r="T20" s="175"/>
      <c r="U20" s="175"/>
      <c r="V20" s="175"/>
      <c r="W20" s="147"/>
      <c r="Y20" s="13"/>
    </row>
    <row r="21" spans="2:26" s="6" customFormat="1">
      <c r="B21" s="143" t="s">
        <v>361</v>
      </c>
      <c r="C21" s="144" t="s">
        <v>362</v>
      </c>
      <c r="D21" s="8" t="s">
        <v>245</v>
      </c>
      <c r="E21" s="158"/>
      <c r="F21" s="157"/>
      <c r="G21" s="157"/>
      <c r="H21" s="159"/>
      <c r="I21" s="159"/>
      <c r="J21" s="162" t="s">
        <v>172</v>
      </c>
      <c r="K21" s="162"/>
      <c r="L21" s="162" t="s">
        <v>172</v>
      </c>
      <c r="M21" s="159"/>
      <c r="N21" s="163"/>
      <c r="O21" s="37">
        <f t="shared" si="4"/>
        <v>0</v>
      </c>
      <c r="P21" s="3"/>
      <c r="Q21" s="3"/>
      <c r="R21" s="37">
        <f>IF($D21="MWh/yr (LHV)",$E21,$E21*MAX(0, $J21*(1-$L21)-2.441*$L21)/kWh_to_MJ)</f>
        <v>0</v>
      </c>
      <c r="S21" s="173" t="str">
        <f t="shared" si="5"/>
        <v/>
      </c>
      <c r="T21" s="175"/>
      <c r="U21" s="175"/>
      <c r="V21" s="175"/>
      <c r="W21" s="147"/>
      <c r="Y21" s="13"/>
    </row>
    <row r="22" spans="2:26" s="6" customFormat="1">
      <c r="B22" s="143" t="s">
        <v>339</v>
      </c>
      <c r="C22" s="144" t="s">
        <v>356</v>
      </c>
      <c r="D22" s="8" t="s">
        <v>245</v>
      </c>
      <c r="E22" s="158"/>
      <c r="F22" s="157"/>
      <c r="G22" s="157"/>
      <c r="H22" s="159"/>
      <c r="I22" s="159"/>
      <c r="J22" s="162" t="s">
        <v>172</v>
      </c>
      <c r="K22" s="162"/>
      <c r="L22" s="162" t="s">
        <v>172</v>
      </c>
      <c r="M22" s="159"/>
      <c r="N22" s="158" t="s">
        <v>337</v>
      </c>
      <c r="O22" s="37">
        <f t="shared" si="4"/>
        <v>0</v>
      </c>
      <c r="P22" s="3"/>
      <c r="Q22" s="3"/>
      <c r="R22" s="37">
        <f>IF($D22="MWh/yr (LHV)",$E22,$E22*MAX(0, $J22*(1-$L22)-2.441*$L22)/kWh_to_MJ)*IF(OR(N22="", NOT(ISNUMBER(N22))), 1, (N22)/(N22+273.15))</f>
        <v>0</v>
      </c>
      <c r="S22" s="173" t="str">
        <f t="shared" si="5"/>
        <v/>
      </c>
      <c r="T22" s="175"/>
      <c r="U22" s="175"/>
      <c r="V22" s="175"/>
      <c r="W22" s="147"/>
      <c r="Y22" s="13"/>
    </row>
    <row r="23" spans="2:26" s="6" customFormat="1">
      <c r="B23" s="143" t="s">
        <v>340</v>
      </c>
      <c r="C23" s="144" t="s">
        <v>357</v>
      </c>
      <c r="D23" s="8" t="s">
        <v>245</v>
      </c>
      <c r="E23" s="157"/>
      <c r="F23" s="157"/>
      <c r="G23" s="157"/>
      <c r="H23" s="159"/>
      <c r="I23" s="159"/>
      <c r="J23" s="158" t="s">
        <v>338</v>
      </c>
      <c r="K23" s="159"/>
      <c r="L23" s="162">
        <v>0</v>
      </c>
      <c r="M23" s="159"/>
      <c r="N23" s="158" t="s">
        <v>337</v>
      </c>
      <c r="O23" s="37">
        <f t="shared" si="4"/>
        <v>0</v>
      </c>
      <c r="P23" s="3"/>
      <c r="Q23" s="3"/>
      <c r="R23" s="37">
        <f>IF($D23="MWh/yr (LHV)",$E23,$E23*MAX(0, $J23*(1-$L23)-2.441*$L23)/kWh_to_MJ)*IF(OR(N23="", NOT(ISNUMBER(N23))), 1, (N23)/(N23+273.15))</f>
        <v>0</v>
      </c>
      <c r="S23" s="173" t="str">
        <f t="shared" si="5"/>
        <v/>
      </c>
      <c r="T23" s="175"/>
      <c r="U23" s="175"/>
      <c r="V23" s="175"/>
      <c r="W23" s="147"/>
      <c r="Y23" s="13"/>
    </row>
    <row r="24" spans="2:26" s="6" customFormat="1">
      <c r="B24" s="143" t="s">
        <v>177</v>
      </c>
      <c r="C24" s="144" t="s">
        <v>251</v>
      </c>
      <c r="D24" s="8" t="s">
        <v>244</v>
      </c>
      <c r="E24" s="157"/>
      <c r="F24" s="157"/>
      <c r="G24" s="157"/>
      <c r="H24" s="159"/>
      <c r="I24" s="159"/>
      <c r="J24" s="159"/>
      <c r="K24" s="159"/>
      <c r="L24" s="159"/>
      <c r="M24" s="159"/>
      <c r="N24" s="14"/>
      <c r="O24" s="37">
        <f t="shared" si="4"/>
        <v>0</v>
      </c>
      <c r="P24" s="3"/>
      <c r="Q24" s="3"/>
      <c r="R24" s="3"/>
      <c r="S24" s="3"/>
      <c r="T24" s="162" t="str">
        <f t="shared" ref="T24:T28" si="6">IF(B24="", "", IF(D24="MWh/yr (LHV)", "Use column to right", "Enter data here"))</f>
        <v>Enter data here</v>
      </c>
      <c r="U24" s="162" t="str">
        <f t="shared" ref="U24:U28" si="7">IF(B24="", "", IF(D24="MWh/yr (LHV)", "Enter data here", "Use column to left"))</f>
        <v>Use column to left</v>
      </c>
      <c r="V24" s="158" t="s">
        <v>305</v>
      </c>
      <c r="W24" s="145" t="str">
        <f t="shared" ref="W24:W28" si="8">IFERROR(IF(D24="tonnes/yr", $T24*$E24/($O$17*3.6), $U24*$E24*3.6/($O$17*3.6)), "Unfilled fields on left")</f>
        <v>Unfilled fields on left</v>
      </c>
      <c r="Y24" s="13"/>
    </row>
    <row r="25" spans="2:26" s="6" customFormat="1">
      <c r="B25" s="143" t="s">
        <v>177</v>
      </c>
      <c r="C25" s="144" t="s">
        <v>273</v>
      </c>
      <c r="D25" s="8" t="s">
        <v>244</v>
      </c>
      <c r="E25" s="157"/>
      <c r="F25" s="157"/>
      <c r="G25" s="157"/>
      <c r="H25" s="159"/>
      <c r="I25" s="159"/>
      <c r="J25" s="159"/>
      <c r="K25" s="159"/>
      <c r="L25" s="159"/>
      <c r="M25" s="159"/>
      <c r="N25" s="14"/>
      <c r="O25" s="37">
        <f t="shared" si="4"/>
        <v>0</v>
      </c>
      <c r="P25" s="3"/>
      <c r="Q25" s="3"/>
      <c r="R25" s="3"/>
      <c r="S25" s="3"/>
      <c r="T25" s="162" t="str">
        <f t="shared" si="6"/>
        <v>Enter data here</v>
      </c>
      <c r="U25" s="162" t="str">
        <f t="shared" si="7"/>
        <v>Use column to left</v>
      </c>
      <c r="V25" s="158" t="s">
        <v>305</v>
      </c>
      <c r="W25" s="145" t="str">
        <f t="shared" si="8"/>
        <v>Unfilled fields on left</v>
      </c>
      <c r="Y25" s="13"/>
    </row>
    <row r="26" spans="2:26" s="6" customFormat="1">
      <c r="B26" s="143" t="s">
        <v>177</v>
      </c>
      <c r="C26" s="144" t="s">
        <v>260</v>
      </c>
      <c r="D26" s="8" t="s">
        <v>244</v>
      </c>
      <c r="E26" s="158"/>
      <c r="F26" s="157"/>
      <c r="G26" s="157"/>
      <c r="H26" s="159"/>
      <c r="I26" s="162"/>
      <c r="J26" s="162"/>
      <c r="K26" s="159"/>
      <c r="L26" s="159"/>
      <c r="M26" s="159"/>
      <c r="N26" s="14"/>
      <c r="O26" s="37">
        <f t="shared" si="4"/>
        <v>0</v>
      </c>
      <c r="P26" s="3"/>
      <c r="Q26" s="3"/>
      <c r="R26" s="3"/>
      <c r="S26" s="3"/>
      <c r="T26" s="162" t="str">
        <f t="shared" si="6"/>
        <v>Enter data here</v>
      </c>
      <c r="U26" s="162" t="str">
        <f t="shared" si="7"/>
        <v>Use column to left</v>
      </c>
      <c r="V26" s="158" t="s">
        <v>305</v>
      </c>
      <c r="W26" s="145" t="str">
        <f t="shared" si="8"/>
        <v>Unfilled fields on left</v>
      </c>
      <c r="Y26" s="13"/>
    </row>
    <row r="27" spans="2:26" s="6" customFormat="1">
      <c r="B27" s="143" t="s">
        <v>180</v>
      </c>
      <c r="C27" s="144" t="s">
        <v>252</v>
      </c>
      <c r="D27" s="8" t="s">
        <v>244</v>
      </c>
      <c r="E27" s="157"/>
      <c r="F27" s="157"/>
      <c r="G27" s="157"/>
      <c r="H27" s="159"/>
      <c r="I27" s="159"/>
      <c r="J27" s="159"/>
      <c r="K27" s="159"/>
      <c r="L27" s="159"/>
      <c r="M27" s="159"/>
      <c r="N27" s="14"/>
      <c r="O27" s="37">
        <f t="shared" si="4"/>
        <v>0</v>
      </c>
      <c r="P27" s="3"/>
      <c r="Q27" s="3"/>
      <c r="R27" s="3"/>
      <c r="S27" s="3"/>
      <c r="T27" s="162" t="str">
        <f t="shared" si="6"/>
        <v>Enter data here</v>
      </c>
      <c r="U27" s="162" t="str">
        <f t="shared" si="7"/>
        <v>Use column to left</v>
      </c>
      <c r="V27" s="158" t="s">
        <v>305</v>
      </c>
      <c r="W27" s="145" t="str">
        <f t="shared" si="8"/>
        <v>Unfilled fields on left</v>
      </c>
      <c r="Y27" s="13"/>
    </row>
    <row r="28" spans="2:26" s="6" customFormat="1">
      <c r="B28" s="143" t="s">
        <v>180</v>
      </c>
      <c r="C28" s="144" t="s">
        <v>181</v>
      </c>
      <c r="D28" s="8" t="s">
        <v>244</v>
      </c>
      <c r="E28" s="157"/>
      <c r="F28" s="157"/>
      <c r="G28" s="157"/>
      <c r="H28" s="159"/>
      <c r="I28" s="159"/>
      <c r="J28" s="159"/>
      <c r="K28" s="159"/>
      <c r="L28" s="159"/>
      <c r="M28" s="159"/>
      <c r="N28" s="14"/>
      <c r="O28" s="37">
        <f t="shared" si="4"/>
        <v>0</v>
      </c>
      <c r="P28" s="3"/>
      <c r="Q28" s="3"/>
      <c r="R28" s="3"/>
      <c r="S28" s="3"/>
      <c r="T28" s="162" t="str">
        <f t="shared" si="6"/>
        <v>Enter data here</v>
      </c>
      <c r="U28" s="162" t="str">
        <f t="shared" si="7"/>
        <v>Use column to left</v>
      </c>
      <c r="V28" s="158" t="s">
        <v>305</v>
      </c>
      <c r="W28" s="145" t="str">
        <f t="shared" si="8"/>
        <v>Unfilled fields on left</v>
      </c>
      <c r="Y28" s="13"/>
    </row>
    <row r="29" spans="2:26" s="6" customFormat="1">
      <c r="B29" s="143" t="s">
        <v>375</v>
      </c>
      <c r="C29" s="144" t="s">
        <v>368</v>
      </c>
      <c r="D29" s="8" t="s">
        <v>244</v>
      </c>
      <c r="E29" s="157"/>
      <c r="F29" s="157"/>
      <c r="G29" s="157"/>
      <c r="H29" s="159"/>
      <c r="I29" s="159"/>
      <c r="J29" s="159"/>
      <c r="K29" s="159"/>
      <c r="L29" s="159"/>
      <c r="M29" s="159"/>
      <c r="N29" s="14"/>
      <c r="O29" s="37">
        <f t="shared" si="4"/>
        <v>0</v>
      </c>
      <c r="P29" s="3"/>
      <c r="Q29" s="3"/>
      <c r="R29" s="3"/>
      <c r="S29" s="3"/>
      <c r="T29" s="158">
        <v>0</v>
      </c>
      <c r="U29" s="175"/>
      <c r="V29" s="158" t="s">
        <v>271</v>
      </c>
      <c r="W29" s="145" t="str">
        <f>IFERROR(IF(D29="tonnes/yr", $T29*$E29/($O$17*3.6), $U29*$E29*3.6/($O$17*3.6)), "Unfilled fields on left")</f>
        <v>Unfilled fields on left</v>
      </c>
      <c r="Y29" s="13"/>
    </row>
    <row r="30" spans="2:26" s="6" customFormat="1">
      <c r="B30" s="143" t="s">
        <v>375</v>
      </c>
      <c r="C30" s="144" t="s">
        <v>369</v>
      </c>
      <c r="D30" s="8" t="s">
        <v>244</v>
      </c>
      <c r="E30" s="157"/>
      <c r="F30" s="157"/>
      <c r="G30" s="157"/>
      <c r="H30" s="159"/>
      <c r="I30" s="159"/>
      <c r="J30" s="159"/>
      <c r="K30" s="159"/>
      <c r="L30" s="159"/>
      <c r="M30" s="159"/>
      <c r="N30" s="14"/>
      <c r="O30" s="37">
        <f t="shared" si="4"/>
        <v>0</v>
      </c>
      <c r="P30" s="3"/>
      <c r="Q30" s="3"/>
      <c r="R30" s="3"/>
      <c r="S30" s="3"/>
      <c r="T30" s="158">
        <v>0</v>
      </c>
      <c r="U30" s="175"/>
      <c r="V30" s="158" t="s">
        <v>367</v>
      </c>
      <c r="W30" s="145" t="str">
        <f>IFERROR(IF(D30="tonnes/yr", $T30*$E30/($O$17*3.6), $U30*$E30*3.6/($O$17*3.6)), "Unfilled fields on left")</f>
        <v>Unfilled fields on left</v>
      </c>
      <c r="Y30" s="13"/>
    </row>
    <row r="31" spans="2:26" s="6" customFormat="1">
      <c r="B31" s="143" t="s">
        <v>375</v>
      </c>
      <c r="C31" s="144" t="s">
        <v>370</v>
      </c>
      <c r="D31" s="8" t="s">
        <v>244</v>
      </c>
      <c r="E31" s="157"/>
      <c r="F31" s="157"/>
      <c r="G31" s="157"/>
      <c r="H31" s="159"/>
      <c r="I31" s="159"/>
      <c r="J31" s="159"/>
      <c r="K31" s="159"/>
      <c r="L31" s="159"/>
      <c r="M31" s="159"/>
      <c r="N31" s="14"/>
      <c r="O31" s="37">
        <f t="shared" si="4"/>
        <v>0</v>
      </c>
      <c r="P31" s="3"/>
      <c r="Q31" s="3"/>
      <c r="R31" s="3"/>
      <c r="S31" s="3"/>
      <c r="T31" s="158">
        <v>1000</v>
      </c>
      <c r="U31" s="175"/>
      <c r="V31" s="158" t="s">
        <v>371</v>
      </c>
      <c r="W31" s="145" t="str">
        <f>IFERROR(IF(D31="tonnes/yr", $T31*$E31/($O$17*3.6), $U31*$E31*3.6/($O$17*3.6)), "Unfilled fields on left")</f>
        <v>Unfilled fields on left</v>
      </c>
      <c r="Y31" s="13"/>
    </row>
    <row r="32" spans="2:26" s="6" customFormat="1">
      <c r="B32" s="143" t="s">
        <v>373</v>
      </c>
      <c r="C32" s="144" t="s">
        <v>268</v>
      </c>
      <c r="D32" s="8" t="s">
        <v>244</v>
      </c>
      <c r="E32" s="157"/>
      <c r="F32" s="157"/>
      <c r="G32" s="157"/>
      <c r="H32" s="159"/>
      <c r="I32" s="159"/>
      <c r="J32" s="159"/>
      <c r="K32" s="159"/>
      <c r="L32" s="159"/>
      <c r="M32" s="159"/>
      <c r="N32" s="14"/>
      <c r="O32" s="37">
        <f t="shared" si="4"/>
        <v>0</v>
      </c>
      <c r="P32" s="3"/>
      <c r="Q32" s="3"/>
      <c r="R32" s="3"/>
      <c r="S32" s="3"/>
      <c r="T32" s="158">
        <v>-1000</v>
      </c>
      <c r="U32" s="175"/>
      <c r="V32" s="158" t="s">
        <v>372</v>
      </c>
      <c r="W32" s="145" t="str">
        <f>IFERROR(IF(D32="tonnes/yr", $T32*$E32/($O$17*3.6), $U32*$E32*3.6/($O$17*3.6)), "Unfilled fields on left")</f>
        <v>Unfilled fields on left</v>
      </c>
      <c r="Y32" s="13"/>
    </row>
    <row r="33" spans="2:26" s="6" customFormat="1">
      <c r="B33" s="143" t="s">
        <v>373</v>
      </c>
      <c r="C33" s="144" t="s">
        <v>269</v>
      </c>
      <c r="D33" s="8" t="s">
        <v>244</v>
      </c>
      <c r="E33" s="157"/>
      <c r="F33" s="157"/>
      <c r="G33" s="157"/>
      <c r="H33" s="159"/>
      <c r="I33" s="159"/>
      <c r="J33" s="159"/>
      <c r="K33" s="159"/>
      <c r="L33" s="159"/>
      <c r="M33" s="159"/>
      <c r="N33" s="14"/>
      <c r="O33" s="37">
        <f t="shared" si="4"/>
        <v>0</v>
      </c>
      <c r="P33" s="3"/>
      <c r="Q33" s="3"/>
      <c r="R33" s="3"/>
      <c r="S33" s="3"/>
      <c r="T33" s="158">
        <v>-1000</v>
      </c>
      <c r="U33" s="175"/>
      <c r="V33" s="158" t="s">
        <v>377</v>
      </c>
      <c r="W33" s="145" t="str">
        <f>IFERROR(IF(D33="tonnes/yr", $T33*$E33/($O$17*3.6), $U33*$E33*3.6/($O$17*3.6)), "Unfilled fields on left")</f>
        <v>Unfilled fields on left</v>
      </c>
      <c r="Y33" s="13"/>
    </row>
    <row r="34" spans="2:26">
      <c r="B34" s="143" t="s">
        <v>374</v>
      </c>
      <c r="C34" s="144" t="s">
        <v>378</v>
      </c>
      <c r="D34" s="8" t="s">
        <v>244</v>
      </c>
      <c r="E34" s="157"/>
      <c r="F34" s="157"/>
      <c r="G34" s="157"/>
      <c r="H34" s="159"/>
      <c r="I34" s="159"/>
      <c r="J34" s="159"/>
      <c r="K34" s="159"/>
      <c r="L34" s="159"/>
      <c r="M34" s="159"/>
      <c r="N34" s="14"/>
      <c r="O34" s="37">
        <f t="shared" si="4"/>
        <v>0</v>
      </c>
      <c r="P34" s="3"/>
      <c r="T34" s="158">
        <v>-1000</v>
      </c>
      <c r="U34" s="175"/>
      <c r="V34" s="158" t="s">
        <v>379</v>
      </c>
      <c r="W34" s="145" t="str">
        <f t="shared" ref="W34:W38" si="9">IFERROR(IF(D34="tonnes/yr", $T34*$E34/($O$17*3.6), $U34*$E34*3.6/($O$17*3.6)), "Unfilled fields on left")</f>
        <v>Unfilled fields on left</v>
      </c>
      <c r="X34" s="6"/>
      <c r="Y34" s="13"/>
      <c r="Z34" s="3"/>
    </row>
    <row r="35" spans="2:26">
      <c r="B35" s="143" t="s">
        <v>374</v>
      </c>
      <c r="C35" s="144" t="s">
        <v>366</v>
      </c>
      <c r="D35" s="8" t="s">
        <v>244</v>
      </c>
      <c r="E35" s="157"/>
      <c r="F35" s="157"/>
      <c r="G35" s="157"/>
      <c r="H35" s="159"/>
      <c r="I35" s="159"/>
      <c r="J35" s="159"/>
      <c r="K35" s="159"/>
      <c r="L35" s="159"/>
      <c r="M35" s="159"/>
      <c r="N35" s="14"/>
      <c r="O35" s="37">
        <f t="shared" si="4"/>
        <v>0</v>
      </c>
      <c r="P35" s="3"/>
      <c r="T35" s="158">
        <v>0</v>
      </c>
      <c r="U35" s="175"/>
      <c r="V35" s="158" t="s">
        <v>365</v>
      </c>
      <c r="W35" s="145" t="str">
        <f t="shared" si="9"/>
        <v>Unfilled fields on left</v>
      </c>
      <c r="X35" s="6"/>
      <c r="Y35" s="13"/>
      <c r="Z35" s="3"/>
    </row>
    <row r="36" spans="2:26">
      <c r="B36" s="143" t="s">
        <v>376</v>
      </c>
      <c r="C36" s="144" t="s">
        <v>253</v>
      </c>
      <c r="D36" s="8" t="s">
        <v>244</v>
      </c>
      <c r="E36" s="157"/>
      <c r="F36" s="157"/>
      <c r="G36" s="157"/>
      <c r="H36" s="159"/>
      <c r="I36" s="159"/>
      <c r="J36" s="159"/>
      <c r="K36" s="159"/>
      <c r="L36" s="159"/>
      <c r="M36" s="159"/>
      <c r="N36" s="14"/>
      <c r="O36" s="37">
        <f t="shared" si="4"/>
        <v>0</v>
      </c>
      <c r="P36" s="3"/>
      <c r="T36" s="158">
        <v>28000</v>
      </c>
      <c r="U36" s="175"/>
      <c r="V36" s="158" t="s">
        <v>256</v>
      </c>
      <c r="W36" s="145" t="str">
        <f t="shared" si="9"/>
        <v>Unfilled fields on left</v>
      </c>
      <c r="X36" s="6"/>
      <c r="Y36" s="13"/>
      <c r="Z36" s="3"/>
    </row>
    <row r="37" spans="2:26">
      <c r="B37" s="143" t="s">
        <v>376</v>
      </c>
      <c r="C37" s="144" t="s">
        <v>254</v>
      </c>
      <c r="D37" s="8" t="s">
        <v>244</v>
      </c>
      <c r="E37" s="157"/>
      <c r="F37" s="157"/>
      <c r="G37" s="157"/>
      <c r="H37" s="159"/>
      <c r="I37" s="159"/>
      <c r="J37" s="159"/>
      <c r="K37" s="159"/>
      <c r="L37" s="159"/>
      <c r="M37" s="159"/>
      <c r="N37" s="14"/>
      <c r="O37" s="37">
        <f t="shared" si="4"/>
        <v>0</v>
      </c>
      <c r="P37" s="3"/>
      <c r="T37" s="158">
        <v>265000</v>
      </c>
      <c r="U37" s="175"/>
      <c r="V37" s="158" t="s">
        <v>256</v>
      </c>
      <c r="W37" s="145" t="str">
        <f t="shared" si="9"/>
        <v>Unfilled fields on left</v>
      </c>
      <c r="X37" s="6"/>
      <c r="Y37" s="13"/>
      <c r="Z37" s="3"/>
    </row>
    <row r="38" spans="2:26">
      <c r="B38" s="9"/>
      <c r="C38" s="8"/>
      <c r="D38" s="8"/>
      <c r="E38" s="157"/>
      <c r="F38" s="157"/>
      <c r="G38" s="157"/>
      <c r="H38" s="159"/>
      <c r="I38" s="159"/>
      <c r="J38" s="159"/>
      <c r="K38" s="159"/>
      <c r="L38" s="159"/>
      <c r="M38" s="159"/>
      <c r="N38" s="14"/>
      <c r="O38" s="37">
        <f t="shared" si="4"/>
        <v>0</v>
      </c>
      <c r="P38" s="3"/>
      <c r="T38" s="16"/>
      <c r="U38" s="15"/>
      <c r="V38" s="158"/>
      <c r="W38" s="145" t="str">
        <f t="shared" si="9"/>
        <v>Unfilled fields on left</v>
      </c>
      <c r="X38" s="6"/>
      <c r="Y38" s="13"/>
      <c r="Z38" s="3"/>
    </row>
    <row r="39" spans="2:26">
      <c r="C39" s="10"/>
      <c r="D39" s="10"/>
      <c r="E39" s="11"/>
      <c r="F39" s="10"/>
      <c r="H39" s="12"/>
      <c r="I39" s="12"/>
      <c r="J39" s="12"/>
      <c r="K39" s="12"/>
      <c r="L39" s="12"/>
      <c r="M39" s="12"/>
      <c r="N39" s="12"/>
      <c r="O39" s="12"/>
      <c r="P39" s="3"/>
      <c r="T39" s="12"/>
      <c r="U39" s="15"/>
      <c r="V39" s="12"/>
      <c r="W39" s="32"/>
      <c r="Z39" s="3"/>
    </row>
    <row r="40" spans="2:26">
      <c r="P40" s="3"/>
      <c r="V40" s="29" t="s">
        <v>159</v>
      </c>
      <c r="W40" s="148">
        <f>SUM(W4:W39)</f>
        <v>0</v>
      </c>
      <c r="Z40" s="3"/>
    </row>
    <row r="41" spans="2:26">
      <c r="B41" s="142" t="s">
        <v>257</v>
      </c>
      <c r="C41" s="138"/>
      <c r="D41" s="138"/>
      <c r="E41" s="138"/>
      <c r="P41" s="3"/>
      <c r="Z41" s="3"/>
    </row>
    <row r="42" spans="2:26">
      <c r="B42" s="9" t="s">
        <v>258</v>
      </c>
      <c r="C42" s="8" t="s">
        <v>259</v>
      </c>
      <c r="D42" s="8" t="s">
        <v>160</v>
      </c>
      <c r="E42" s="9"/>
    </row>
    <row r="43" spans="2:26">
      <c r="B43" s="9" t="s">
        <v>261</v>
      </c>
      <c r="C43" s="8" t="s">
        <v>262</v>
      </c>
      <c r="D43" s="8" t="s">
        <v>263</v>
      </c>
      <c r="E43" s="9"/>
    </row>
    <row r="44" spans="2:26">
      <c r="B44" s="9" t="s">
        <v>264</v>
      </c>
      <c r="C44" s="8" t="s">
        <v>265</v>
      </c>
      <c r="D44" s="8" t="s">
        <v>263</v>
      </c>
      <c r="E44" s="9"/>
    </row>
    <row r="45" spans="2:26">
      <c r="B45" s="9"/>
      <c r="C45" s="9"/>
      <c r="D45" s="9"/>
      <c r="E45" s="9"/>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row r="54" spans="5:8">
      <c r="E54" s="3"/>
      <c r="H54" s="3"/>
    </row>
    <row r="55" spans="5:8">
      <c r="E55" s="3"/>
      <c r="H55" s="3"/>
    </row>
    <row r="56" spans="5:8">
      <c r="E56" s="3"/>
      <c r="H56" s="3"/>
    </row>
    <row r="57" spans="5:8">
      <c r="E57" s="3"/>
      <c r="H57" s="3"/>
    </row>
    <row r="58" spans="5:8">
      <c r="E58" s="3"/>
      <c r="H58" s="3"/>
    </row>
  </sheetData>
  <dataValidations count="1">
    <dataValidation type="list" allowBlank="1" showInputMessage="1" showErrorMessage="1" sqref="D5:D14 D17:D38" xr:uid="{A9781C3C-F988-4D05-9A5B-FEF41052D70E}">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P32:U32 P36:W38 P34:S35 W34:W35 P15:W16 P30:S30 U30 W30 P33:U33 W31:W33 P5:W14 P17:W29 O15:O16 O5:O14 O17:O38" unlockedFormula="1"/>
  </ignoredError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308</v>
      </c>
      <c r="G2" s="2" t="s">
        <v>358</v>
      </c>
      <c r="H2" s="2" t="s">
        <v>164</v>
      </c>
      <c r="I2" s="2" t="s">
        <v>359</v>
      </c>
      <c r="J2" s="2" t="s">
        <v>333</v>
      </c>
      <c r="K2" s="2" t="s">
        <v>334</v>
      </c>
      <c r="L2" s="2" t="s">
        <v>306</v>
      </c>
      <c r="M2" s="2" t="s">
        <v>307</v>
      </c>
      <c r="N2" s="2" t="s">
        <v>336</v>
      </c>
      <c r="O2" s="2" t="s">
        <v>332</v>
      </c>
      <c r="P2" s="2" t="s">
        <v>330</v>
      </c>
      <c r="Q2" s="2"/>
      <c r="R2" s="30" t="s">
        <v>360</v>
      </c>
      <c r="S2" s="2" t="s">
        <v>331</v>
      </c>
      <c r="T2" s="2" t="s">
        <v>246</v>
      </c>
      <c r="U2" s="2" t="s">
        <v>335</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'Upgrading to fuel'!C17</f>
        <v>e.g. Jet fuel</v>
      </c>
      <c r="D5" s="8" t="s">
        <v>244</v>
      </c>
      <c r="E5" s="162"/>
      <c r="F5" s="157"/>
      <c r="G5" s="157"/>
      <c r="H5" s="159"/>
      <c r="I5" s="159" t="s">
        <v>176</v>
      </c>
      <c r="J5" s="162"/>
      <c r="K5" s="159"/>
      <c r="L5" s="159"/>
      <c r="M5" s="159"/>
      <c r="N5" s="14"/>
      <c r="O5" s="37">
        <f t="shared" ref="O5:O14" si="0">IF($D5="MWh/yr (LHV)",$E5,$J5*$E5*(1-$L5)/3.6)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si="0"/>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60"/>
      <c r="T15" s="160"/>
      <c r="U15" s="160"/>
      <c r="V15" s="160"/>
      <c r="W15" s="146"/>
      <c r="Y15" s="18"/>
      <c r="Z15" s="3"/>
    </row>
    <row r="16" spans="2:26">
      <c r="B16" s="142" t="s">
        <v>174</v>
      </c>
      <c r="C16" s="138"/>
      <c r="D16" s="138"/>
      <c r="E16" s="168"/>
      <c r="F16" s="169"/>
      <c r="G16" s="170"/>
      <c r="H16" s="161"/>
      <c r="I16" s="161"/>
      <c r="J16" s="161"/>
      <c r="K16" s="161"/>
      <c r="L16" s="161"/>
      <c r="M16" s="161"/>
      <c r="N16" s="141"/>
      <c r="O16" s="161"/>
      <c r="P16" s="141"/>
      <c r="Q16" s="141"/>
      <c r="R16" s="141"/>
      <c r="S16" s="141"/>
      <c r="T16" s="161"/>
      <c r="U16" s="161"/>
      <c r="V16" s="161"/>
      <c r="W16" s="161"/>
      <c r="X16" s="141"/>
      <c r="Y16" s="141"/>
      <c r="Z16" s="3"/>
    </row>
    <row r="17" spans="2:26">
      <c r="B17" s="9" t="s">
        <v>175</v>
      </c>
      <c r="C17" s="144" t="s">
        <v>266</v>
      </c>
      <c r="D17" s="8" t="s">
        <v>244</v>
      </c>
      <c r="E17" s="158"/>
      <c r="F17" s="157"/>
      <c r="G17" s="157"/>
      <c r="H17" s="157"/>
      <c r="I17" s="157" t="s">
        <v>176</v>
      </c>
      <c r="J17" s="158"/>
      <c r="K17" s="157"/>
      <c r="L17" s="157"/>
      <c r="M17" s="157"/>
      <c r="N17" s="14"/>
      <c r="O17" s="37">
        <f t="shared" ref="O17:O33" si="4">IF($D17="MWh/yr (LHV)",$E17,$J17*$E17*(1-$L17)/3.6)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363</v>
      </c>
      <c r="D18" s="8" t="s">
        <v>244</v>
      </c>
      <c r="E18" s="158"/>
      <c r="F18" s="157"/>
      <c r="G18" s="157"/>
      <c r="H18" s="159"/>
      <c r="I18" s="159"/>
      <c r="J18" s="159"/>
      <c r="K18" s="159"/>
      <c r="L18" s="159"/>
      <c r="M18" s="159"/>
      <c r="N18" s="14"/>
      <c r="O18" s="37">
        <f t="shared" si="4"/>
        <v>0</v>
      </c>
      <c r="P18" s="3"/>
      <c r="Q18" s="3"/>
      <c r="R18" s="37">
        <f>IF($D18="MWh/yr (LHV)",$E18,$E18*MAX(0, $J18*(1-$L18)-2.441*$L18)/kWh_to_MJ)</f>
        <v>0</v>
      </c>
      <c r="S18" s="173" t="str">
        <f>IFERROR(R18/(SUM($R$17:$R$19)),"")</f>
        <v/>
      </c>
      <c r="T18" s="175"/>
      <c r="U18" s="175"/>
      <c r="V18" s="175"/>
      <c r="W18" s="147"/>
      <c r="Y18" s="13"/>
    </row>
    <row r="19" spans="2:26" s="6" customFormat="1">
      <c r="B19" s="143" t="s">
        <v>179</v>
      </c>
      <c r="C19" s="144" t="s">
        <v>363</v>
      </c>
      <c r="D19" s="8" t="s">
        <v>244</v>
      </c>
      <c r="E19" s="157"/>
      <c r="F19" s="157"/>
      <c r="G19" s="157"/>
      <c r="H19" s="159"/>
      <c r="I19" s="159"/>
      <c r="J19" s="159"/>
      <c r="K19" s="159"/>
      <c r="L19" s="159"/>
      <c r="M19" s="159"/>
      <c r="N19" s="14"/>
      <c r="O19" s="37">
        <f t="shared" si="4"/>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5">IF(B20="", "", IF(D20="MWh/yr (LHV)", "Use column to right", "Enter data here"))</f>
        <v>Enter data here</v>
      </c>
      <c r="U20" s="162" t="str">
        <f t="shared" ref="U20:U23" si="6">IF(B20="", "", IF(D20="MWh/yr (LHV)", "Enter data here", "Use column to left"))</f>
        <v>Use column to left</v>
      </c>
      <c r="V20" s="158" t="s">
        <v>305</v>
      </c>
      <c r="W20" s="145" t="str">
        <f t="shared" ref="W20:W23" si="7">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5"/>
        <v>Enter data here</v>
      </c>
      <c r="U21" s="162" t="str">
        <f t="shared" si="6"/>
        <v>Use column to left</v>
      </c>
      <c r="V21" s="158" t="s">
        <v>305</v>
      </c>
      <c r="W21" s="145" t="str">
        <f t="shared" si="7"/>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5"/>
        <v>Enter data here</v>
      </c>
      <c r="U22" s="162" t="str">
        <f t="shared" si="6"/>
        <v>Use column to left</v>
      </c>
      <c r="V22" s="158" t="s">
        <v>305</v>
      </c>
      <c r="W22" s="145" t="str">
        <f t="shared" si="7"/>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5"/>
        <v>Enter data here</v>
      </c>
      <c r="U23" s="162" t="str">
        <f t="shared" si="6"/>
        <v>Use column to left</v>
      </c>
      <c r="V23" s="158" t="s">
        <v>305</v>
      </c>
      <c r="W23" s="145" t="str">
        <f t="shared" si="7"/>
        <v>Unfilled fields on left</v>
      </c>
      <c r="Y23" s="13"/>
    </row>
    <row r="24" spans="2:26" s="6" customFormat="1">
      <c r="B24" s="143" t="s">
        <v>375</v>
      </c>
      <c r="C24" s="144" t="s">
        <v>380</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376</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376</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58"/>
      <c r="U27" s="175"/>
      <c r="V27" s="158"/>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58"/>
      <c r="U28" s="175"/>
      <c r="V28" s="158"/>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58"/>
      <c r="U29" s="175"/>
      <c r="V29" s="158"/>
      <c r="W29" s="145" t="str">
        <f t="shared" ref="W29:W33" si="8">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58"/>
      <c r="U30" s="175"/>
      <c r="V30" s="158"/>
      <c r="W30" s="145" t="str">
        <f t="shared" si="8"/>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58"/>
      <c r="U31" s="175"/>
      <c r="V31" s="158"/>
      <c r="W31" s="145" t="str">
        <f t="shared" si="8"/>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58"/>
      <c r="U32" s="175"/>
      <c r="V32" s="158"/>
      <c r="W32" s="145" t="str">
        <f t="shared" si="8"/>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8"/>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4F7529DE-C0D9-465B-B434-19856CAF002C}">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P5:W23 P25:W33 P24:U24 W24 O5:O33" unlockedFormula="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308</v>
      </c>
      <c r="G2" s="2" t="s">
        <v>358</v>
      </c>
      <c r="H2" s="2" t="s">
        <v>164</v>
      </c>
      <c r="I2" s="2" t="s">
        <v>359</v>
      </c>
      <c r="J2" s="2" t="s">
        <v>333</v>
      </c>
      <c r="K2" s="2" t="s">
        <v>334</v>
      </c>
      <c r="L2" s="2" t="s">
        <v>306</v>
      </c>
      <c r="M2" s="2" t="s">
        <v>307</v>
      </c>
      <c r="N2" s="2" t="s">
        <v>336</v>
      </c>
      <c r="O2" s="2" t="s">
        <v>332</v>
      </c>
      <c r="P2" s="2" t="s">
        <v>330</v>
      </c>
      <c r="Q2" s="2"/>
      <c r="R2" s="30" t="s">
        <v>360</v>
      </c>
      <c r="S2" s="2" t="s">
        <v>331</v>
      </c>
      <c r="T2" s="2" t="s">
        <v>246</v>
      </c>
      <c r="U2" s="2" t="s">
        <v>335</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'Fuel distribution 1'!C17</f>
        <v>e.g. Jet fuel</v>
      </c>
      <c r="D5" s="8" t="s">
        <v>244</v>
      </c>
      <c r="E5" s="162"/>
      <c r="F5" s="157"/>
      <c r="G5" s="157"/>
      <c r="H5" s="159"/>
      <c r="I5" s="159" t="s">
        <v>176</v>
      </c>
      <c r="J5" s="162"/>
      <c r="K5" s="159"/>
      <c r="L5" s="159"/>
      <c r="M5" s="159"/>
      <c r="N5" s="14"/>
      <c r="O5" s="37">
        <f t="shared" ref="O5:O14" si="0">IF($D5="MWh/yr (LHV)",$E5,$J5*$E5*(1-$L5)/3.6)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si="0"/>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60"/>
      <c r="T15" s="160"/>
      <c r="U15" s="160"/>
      <c r="V15" s="160"/>
      <c r="W15" s="146"/>
      <c r="Y15" s="18"/>
      <c r="Z15" s="3"/>
    </row>
    <row r="16" spans="2:26">
      <c r="B16" s="142" t="s">
        <v>174</v>
      </c>
      <c r="C16" s="138"/>
      <c r="D16" s="138"/>
      <c r="E16" s="168"/>
      <c r="F16" s="169"/>
      <c r="G16" s="170"/>
      <c r="H16" s="161"/>
      <c r="I16" s="161"/>
      <c r="J16" s="161"/>
      <c r="K16" s="161"/>
      <c r="L16" s="161"/>
      <c r="M16" s="161"/>
      <c r="N16" s="141"/>
      <c r="O16" s="161"/>
      <c r="P16" s="141"/>
      <c r="Q16" s="141"/>
      <c r="R16" s="141"/>
      <c r="S16" s="141"/>
      <c r="T16" s="161"/>
      <c r="U16" s="161"/>
      <c r="V16" s="161"/>
      <c r="W16" s="161"/>
      <c r="X16" s="141"/>
      <c r="Y16" s="141"/>
      <c r="Z16" s="3"/>
    </row>
    <row r="17" spans="2:26">
      <c r="B17" s="9" t="s">
        <v>175</v>
      </c>
      <c r="C17" s="144" t="s">
        <v>266</v>
      </c>
      <c r="D17" s="8" t="s">
        <v>244</v>
      </c>
      <c r="E17" s="158"/>
      <c r="F17" s="157"/>
      <c r="G17" s="157"/>
      <c r="H17" s="157"/>
      <c r="I17" s="157" t="s">
        <v>176</v>
      </c>
      <c r="J17" s="158"/>
      <c r="K17" s="157"/>
      <c r="L17" s="157"/>
      <c r="M17" s="157"/>
      <c r="N17" s="14"/>
      <c r="O17" s="37">
        <f t="shared" ref="O17:O33" si="4">IF($D17="MWh/yr (LHV)",$E17,$J17*$E17*(1-$L17)/3.6)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363</v>
      </c>
      <c r="D18" s="8" t="s">
        <v>244</v>
      </c>
      <c r="E18" s="158"/>
      <c r="F18" s="157"/>
      <c r="G18" s="157"/>
      <c r="H18" s="159"/>
      <c r="I18" s="159"/>
      <c r="J18" s="159"/>
      <c r="K18" s="159"/>
      <c r="L18" s="159"/>
      <c r="M18" s="159"/>
      <c r="N18" s="14"/>
      <c r="O18" s="37">
        <f t="shared" si="4"/>
        <v>0</v>
      </c>
      <c r="P18" s="3"/>
      <c r="Q18" s="3"/>
      <c r="R18" s="37">
        <f>IF($D18="MWh/yr (LHV)",$E18,$E18*MAX(0, $J18*(1-$L18)-2.441*$L18)/kWh_to_MJ)</f>
        <v>0</v>
      </c>
      <c r="S18" s="173" t="str">
        <f>IFERROR(R18/(SUM($R$17:$R$19)),"")</f>
        <v/>
      </c>
      <c r="T18" s="175"/>
      <c r="U18" s="175"/>
      <c r="V18" s="175"/>
      <c r="W18" s="147"/>
      <c r="Y18" s="13"/>
    </row>
    <row r="19" spans="2:26" s="6" customFormat="1">
      <c r="B19" s="143" t="s">
        <v>179</v>
      </c>
      <c r="C19" s="144" t="s">
        <v>363</v>
      </c>
      <c r="D19" s="8" t="s">
        <v>244</v>
      </c>
      <c r="E19" s="157"/>
      <c r="F19" s="157"/>
      <c r="G19" s="157"/>
      <c r="H19" s="159"/>
      <c r="I19" s="159"/>
      <c r="J19" s="159"/>
      <c r="K19" s="159"/>
      <c r="L19" s="159"/>
      <c r="M19" s="159"/>
      <c r="N19" s="14"/>
      <c r="O19" s="37">
        <f t="shared" si="4"/>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5">IF(B20="", "", IF(D20="MWh/yr (LHV)", "Use column to right", "Enter data here"))</f>
        <v>Enter data here</v>
      </c>
      <c r="U20" s="162" t="str">
        <f t="shared" ref="U20:U23" si="6">IF(B20="", "", IF(D20="MWh/yr (LHV)", "Enter data here", "Use column to left"))</f>
        <v>Use column to left</v>
      </c>
      <c r="V20" s="158" t="s">
        <v>305</v>
      </c>
      <c r="W20" s="145" t="str">
        <f t="shared" ref="W20:W23" si="7">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5"/>
        <v>Enter data here</v>
      </c>
      <c r="U21" s="162" t="str">
        <f t="shared" si="6"/>
        <v>Use column to left</v>
      </c>
      <c r="V21" s="158" t="s">
        <v>305</v>
      </c>
      <c r="W21" s="145" t="str">
        <f t="shared" si="7"/>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5"/>
        <v>Enter data here</v>
      </c>
      <c r="U22" s="162" t="str">
        <f t="shared" si="6"/>
        <v>Use column to left</v>
      </c>
      <c r="V22" s="158" t="s">
        <v>305</v>
      </c>
      <c r="W22" s="145" t="str">
        <f t="shared" si="7"/>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5"/>
        <v>Enter data here</v>
      </c>
      <c r="U23" s="162" t="str">
        <f t="shared" si="6"/>
        <v>Use column to left</v>
      </c>
      <c r="V23" s="158" t="s">
        <v>305</v>
      </c>
      <c r="W23" s="145" t="str">
        <f t="shared" si="7"/>
        <v>Unfilled fields on left</v>
      </c>
      <c r="Y23" s="13"/>
    </row>
    <row r="24" spans="2:26" s="6" customFormat="1">
      <c r="B24" s="143" t="s">
        <v>375</v>
      </c>
      <c r="C24" s="144" t="s">
        <v>380</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376</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376</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58"/>
      <c r="U27" s="175"/>
      <c r="V27" s="158"/>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58"/>
      <c r="U28" s="175"/>
      <c r="V28" s="158"/>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58"/>
      <c r="U29" s="175"/>
      <c r="V29" s="158"/>
      <c r="W29" s="145" t="str">
        <f t="shared" ref="W29:W33" si="8">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58"/>
      <c r="U30" s="175"/>
      <c r="V30" s="158"/>
      <c r="W30" s="145" t="str">
        <f t="shared" si="8"/>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6"/>
      <c r="U31" s="15"/>
      <c r="V31" s="16"/>
      <c r="W31" s="145" t="str">
        <f t="shared" si="8"/>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6"/>
      <c r="U32" s="15"/>
      <c r="V32" s="16"/>
      <c r="W32" s="145" t="str">
        <f t="shared" si="8"/>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8"/>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F4724EE7-CB68-49FF-9A96-AA7373578E86}">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P5:W23 P25:W33 P24:U24 W24 O5:O33" unlockedFormula="1"/>
  </ignoredError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308</v>
      </c>
      <c r="G2" s="2" t="s">
        <v>358</v>
      </c>
      <c r="H2" s="2" t="s">
        <v>164</v>
      </c>
      <c r="I2" s="2" t="s">
        <v>359</v>
      </c>
      <c r="J2" s="2" t="s">
        <v>333</v>
      </c>
      <c r="K2" s="2" t="s">
        <v>334</v>
      </c>
      <c r="L2" s="2" t="s">
        <v>306</v>
      </c>
      <c r="M2" s="2" t="s">
        <v>307</v>
      </c>
      <c r="N2" s="2" t="s">
        <v>336</v>
      </c>
      <c r="O2" s="2" t="s">
        <v>332</v>
      </c>
      <c r="P2" s="2" t="s">
        <v>330</v>
      </c>
      <c r="Q2" s="2"/>
      <c r="R2" s="30" t="s">
        <v>360</v>
      </c>
      <c r="S2" s="2" t="s">
        <v>331</v>
      </c>
      <c r="T2" s="2" t="s">
        <v>246</v>
      </c>
      <c r="U2" s="2" t="s">
        <v>335</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'Fuel storage'!C17</f>
        <v>e.g. Jet fuel</v>
      </c>
      <c r="D5" s="8" t="s">
        <v>244</v>
      </c>
      <c r="E5" s="162"/>
      <c r="F5" s="157"/>
      <c r="G5" s="157"/>
      <c r="H5" s="159"/>
      <c r="I5" s="159" t="s">
        <v>176</v>
      </c>
      <c r="J5" s="162"/>
      <c r="K5" s="159"/>
      <c r="L5" s="159"/>
      <c r="M5" s="159"/>
      <c r="N5" s="14"/>
      <c r="O5" s="37">
        <f t="shared" ref="O5:O14" si="0">IF($D5="MWh/yr (LHV)",$E5,$J5*$E5*(1-$L5)/3.6)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si="0"/>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60"/>
      <c r="T15" s="160"/>
      <c r="U15" s="160"/>
      <c r="V15" s="160"/>
      <c r="W15" s="146"/>
      <c r="Y15" s="18"/>
      <c r="Z15" s="3"/>
    </row>
    <row r="16" spans="2:26">
      <c r="B16" s="142" t="s">
        <v>174</v>
      </c>
      <c r="C16" s="138"/>
      <c r="D16" s="138"/>
      <c r="E16" s="168"/>
      <c r="F16" s="169"/>
      <c r="G16" s="170"/>
      <c r="H16" s="161"/>
      <c r="I16" s="161"/>
      <c r="J16" s="161"/>
      <c r="K16" s="161"/>
      <c r="L16" s="161"/>
      <c r="M16" s="161"/>
      <c r="N16" s="141"/>
      <c r="O16" s="161"/>
      <c r="P16" s="141"/>
      <c r="Q16" s="141"/>
      <c r="R16" s="141"/>
      <c r="S16" s="141"/>
      <c r="T16" s="161"/>
      <c r="U16" s="161"/>
      <c r="V16" s="161"/>
      <c r="W16" s="161"/>
      <c r="X16" s="141"/>
      <c r="Y16" s="141"/>
      <c r="Z16" s="3"/>
    </row>
    <row r="17" spans="2:26">
      <c r="B17" s="9" t="s">
        <v>175</v>
      </c>
      <c r="C17" s="144" t="s">
        <v>266</v>
      </c>
      <c r="D17" s="8" t="s">
        <v>244</v>
      </c>
      <c r="E17" s="158"/>
      <c r="F17" s="157"/>
      <c r="G17" s="157"/>
      <c r="H17" s="157"/>
      <c r="I17" s="157" t="s">
        <v>176</v>
      </c>
      <c r="J17" s="158"/>
      <c r="K17" s="157"/>
      <c r="L17" s="157"/>
      <c r="M17" s="157"/>
      <c r="N17" s="14"/>
      <c r="O17" s="37">
        <f t="shared" ref="O17:O33" si="4">IF($D17="MWh/yr (LHV)",$E17,$J17*$E17*(1-$L17)/3.6)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363</v>
      </c>
      <c r="D18" s="8" t="s">
        <v>244</v>
      </c>
      <c r="E18" s="158"/>
      <c r="F18" s="157"/>
      <c r="G18" s="157"/>
      <c r="H18" s="159"/>
      <c r="I18" s="159"/>
      <c r="J18" s="159"/>
      <c r="K18" s="159"/>
      <c r="L18" s="159"/>
      <c r="M18" s="159"/>
      <c r="N18" s="14"/>
      <c r="O18" s="37">
        <f t="shared" si="4"/>
        <v>0</v>
      </c>
      <c r="P18" s="3"/>
      <c r="Q18" s="3"/>
      <c r="R18" s="37">
        <f>IF($D18="MWh/yr (LHV)",$E18,$E18*MAX(0, $J18*(1-$L18)-2.441*$L18)/kWh_to_MJ)</f>
        <v>0</v>
      </c>
      <c r="S18" s="173" t="str">
        <f>IFERROR(R18/(SUM($R$17:$R$19)),"")</f>
        <v/>
      </c>
      <c r="T18" s="175"/>
      <c r="U18" s="175"/>
      <c r="V18" s="175"/>
      <c r="W18" s="147"/>
      <c r="Y18" s="13"/>
    </row>
    <row r="19" spans="2:26" s="6" customFormat="1">
      <c r="B19" s="143" t="s">
        <v>179</v>
      </c>
      <c r="C19" s="144" t="s">
        <v>363</v>
      </c>
      <c r="D19" s="8" t="s">
        <v>244</v>
      </c>
      <c r="E19" s="157"/>
      <c r="F19" s="157"/>
      <c r="G19" s="157"/>
      <c r="H19" s="159"/>
      <c r="I19" s="159"/>
      <c r="J19" s="159"/>
      <c r="K19" s="159"/>
      <c r="L19" s="159"/>
      <c r="M19" s="159"/>
      <c r="N19" s="14"/>
      <c r="O19" s="37">
        <f t="shared" si="4"/>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5">IF(B20="", "", IF(D20="MWh/yr (LHV)", "Use column to right", "Enter data here"))</f>
        <v>Enter data here</v>
      </c>
      <c r="U20" s="162" t="str">
        <f t="shared" ref="U20:U23" si="6">IF(B20="", "", IF(D20="MWh/yr (LHV)", "Enter data here", "Use column to left"))</f>
        <v>Use column to left</v>
      </c>
      <c r="V20" s="158" t="s">
        <v>305</v>
      </c>
      <c r="W20" s="145" t="str">
        <f t="shared" ref="W20:W23" si="7">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5"/>
        <v>Enter data here</v>
      </c>
      <c r="U21" s="162" t="str">
        <f t="shared" si="6"/>
        <v>Use column to left</v>
      </c>
      <c r="V21" s="158" t="s">
        <v>305</v>
      </c>
      <c r="W21" s="145" t="str">
        <f t="shared" si="7"/>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5"/>
        <v>Enter data here</v>
      </c>
      <c r="U22" s="162" t="str">
        <f t="shared" si="6"/>
        <v>Use column to left</v>
      </c>
      <c r="V22" s="158" t="s">
        <v>305</v>
      </c>
      <c r="W22" s="145" t="str">
        <f t="shared" si="7"/>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5"/>
        <v>Enter data here</v>
      </c>
      <c r="U23" s="162" t="str">
        <f t="shared" si="6"/>
        <v>Use column to left</v>
      </c>
      <c r="V23" s="158" t="s">
        <v>305</v>
      </c>
      <c r="W23" s="145" t="str">
        <f t="shared" si="7"/>
        <v>Unfilled fields on left</v>
      </c>
      <c r="Y23" s="13"/>
    </row>
    <row r="24" spans="2:26" s="6" customFormat="1">
      <c r="B24" s="143" t="s">
        <v>375</v>
      </c>
      <c r="C24" s="144" t="s">
        <v>380</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376</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376</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58"/>
      <c r="U27" s="175"/>
      <c r="V27" s="158"/>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58"/>
      <c r="U28" s="175"/>
      <c r="V28" s="158"/>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58"/>
      <c r="U29" s="175"/>
      <c r="V29" s="158"/>
      <c r="W29" s="145" t="str">
        <f t="shared" ref="W29:W33" si="8">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58"/>
      <c r="U30" s="175"/>
      <c r="V30" s="158"/>
      <c r="W30" s="145" t="str">
        <f t="shared" si="8"/>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6"/>
      <c r="U31" s="15"/>
      <c r="V31" s="16"/>
      <c r="W31" s="145" t="str">
        <f t="shared" si="8"/>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6"/>
      <c r="U32" s="15"/>
      <c r="V32" s="16"/>
      <c r="W32" s="145" t="str">
        <f t="shared" si="8"/>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8"/>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066AF23F-F558-4AFC-BD0C-8B53DE9CEE70}">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P5:W23 P25:W33 P24:U24 W24 O5:O33" unlockedFormula="1"/>
  </ignoredError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308</v>
      </c>
      <c r="G2" s="2" t="s">
        <v>358</v>
      </c>
      <c r="H2" s="2" t="s">
        <v>164</v>
      </c>
      <c r="I2" s="2" t="s">
        <v>359</v>
      </c>
      <c r="J2" s="2" t="s">
        <v>333</v>
      </c>
      <c r="K2" s="2" t="s">
        <v>334</v>
      </c>
      <c r="L2" s="2" t="s">
        <v>306</v>
      </c>
      <c r="M2" s="2" t="s">
        <v>307</v>
      </c>
      <c r="N2" s="2" t="s">
        <v>336</v>
      </c>
      <c r="O2" s="2" t="s">
        <v>332</v>
      </c>
      <c r="P2" s="2" t="s">
        <v>330</v>
      </c>
      <c r="Q2" s="2"/>
      <c r="R2" s="30" t="s">
        <v>360</v>
      </c>
      <c r="S2" s="2" t="s">
        <v>331</v>
      </c>
      <c r="T2" s="2" t="s">
        <v>246</v>
      </c>
      <c r="U2" s="2" t="s">
        <v>335</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'Fuel distribution 2'!C17</f>
        <v>e.g. Jet fuel</v>
      </c>
      <c r="D5" s="8" t="s">
        <v>244</v>
      </c>
      <c r="E5" s="162"/>
      <c r="F5" s="157"/>
      <c r="G5" s="157"/>
      <c r="H5" s="159"/>
      <c r="I5" s="159" t="s">
        <v>176</v>
      </c>
      <c r="J5" s="162"/>
      <c r="K5" s="159"/>
      <c r="L5" s="159"/>
      <c r="M5" s="159"/>
      <c r="N5" s="14"/>
      <c r="O5" s="37">
        <f t="shared" ref="O5:O14" si="0">IF($D5="MWh/yr (LHV)",$E5,$J5*$E5*(1-$L5)/3.6)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si="0"/>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60"/>
      <c r="T15" s="160"/>
      <c r="U15" s="160"/>
      <c r="V15" s="160"/>
      <c r="W15" s="146"/>
      <c r="Y15" s="18"/>
      <c r="Z15" s="3"/>
    </row>
    <row r="16" spans="2:26">
      <c r="B16" s="142" t="s">
        <v>174</v>
      </c>
      <c r="C16" s="138"/>
      <c r="D16" s="138"/>
      <c r="E16" s="168"/>
      <c r="F16" s="169"/>
      <c r="G16" s="170"/>
      <c r="H16" s="161"/>
      <c r="I16" s="161"/>
      <c r="J16" s="161"/>
      <c r="K16" s="161"/>
      <c r="L16" s="161"/>
      <c r="M16" s="161"/>
      <c r="N16" s="141"/>
      <c r="O16" s="161"/>
      <c r="P16" s="141"/>
      <c r="Q16" s="141"/>
      <c r="R16" s="141"/>
      <c r="S16" s="141"/>
      <c r="T16" s="161"/>
      <c r="U16" s="161"/>
      <c r="V16" s="161"/>
      <c r="W16" s="161"/>
      <c r="X16" s="141"/>
      <c r="Y16" s="141"/>
      <c r="Z16" s="3"/>
    </row>
    <row r="17" spans="2:26">
      <c r="B17" s="9" t="s">
        <v>175</v>
      </c>
      <c r="C17" s="144" t="s">
        <v>266</v>
      </c>
      <c r="D17" s="8" t="s">
        <v>244</v>
      </c>
      <c r="E17" s="158"/>
      <c r="F17" s="157"/>
      <c r="G17" s="157"/>
      <c r="H17" s="157"/>
      <c r="I17" s="157" t="s">
        <v>169</v>
      </c>
      <c r="J17" s="158"/>
      <c r="K17" s="157"/>
      <c r="L17" s="157"/>
      <c r="M17" s="157"/>
      <c r="N17" s="14"/>
      <c r="O17" s="37">
        <f t="shared" ref="O17:O33" si="4">IF($D17="MWh/yr (LHV)",$E17,$J17*$E17*(1-$L17)/3.6)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363</v>
      </c>
      <c r="D18" s="8" t="s">
        <v>244</v>
      </c>
      <c r="E18" s="158"/>
      <c r="F18" s="157"/>
      <c r="G18" s="157"/>
      <c r="H18" s="159"/>
      <c r="I18" s="159"/>
      <c r="J18" s="159"/>
      <c r="K18" s="159"/>
      <c r="L18" s="159"/>
      <c r="M18" s="159"/>
      <c r="N18" s="14"/>
      <c r="O18" s="37">
        <f t="shared" si="4"/>
        <v>0</v>
      </c>
      <c r="P18" s="3"/>
      <c r="Q18" s="3"/>
      <c r="R18" s="37">
        <f>IF($D18="MWh/yr (LHV)",$E18,$E18*MAX(0, $J18*(1-$L18)-2.441*$L18)/kWh_to_MJ)</f>
        <v>0</v>
      </c>
      <c r="S18" s="173" t="str">
        <f>IFERROR(R18/(SUM($R$17:$R$19)),"")</f>
        <v/>
      </c>
      <c r="T18" s="175"/>
      <c r="U18" s="175"/>
      <c r="V18" s="175"/>
      <c r="W18" s="147"/>
      <c r="Y18" s="13"/>
    </row>
    <row r="19" spans="2:26" s="6" customFormat="1">
      <c r="B19" s="143" t="s">
        <v>179</v>
      </c>
      <c r="C19" s="144" t="s">
        <v>363</v>
      </c>
      <c r="D19" s="8" t="s">
        <v>244</v>
      </c>
      <c r="E19" s="157"/>
      <c r="F19" s="157"/>
      <c r="G19" s="157"/>
      <c r="H19" s="159"/>
      <c r="I19" s="159"/>
      <c r="J19" s="159"/>
      <c r="K19" s="159"/>
      <c r="L19" s="159"/>
      <c r="M19" s="159"/>
      <c r="N19" s="14"/>
      <c r="O19" s="37">
        <f t="shared" si="4"/>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5">IF(B20="", "", IF(D20="MWh/yr (LHV)", "Use column to right", "Enter data here"))</f>
        <v>Enter data here</v>
      </c>
      <c r="U20" s="162" t="str">
        <f t="shared" ref="U20:U23" si="6">IF(B20="", "", IF(D20="MWh/yr (LHV)", "Enter data here", "Use column to left"))</f>
        <v>Use column to left</v>
      </c>
      <c r="V20" s="158" t="s">
        <v>305</v>
      </c>
      <c r="W20" s="145" t="str">
        <f t="shared" ref="W20:W23" si="7">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5"/>
        <v>Enter data here</v>
      </c>
      <c r="U21" s="162" t="str">
        <f t="shared" si="6"/>
        <v>Use column to left</v>
      </c>
      <c r="V21" s="158" t="s">
        <v>305</v>
      </c>
      <c r="W21" s="145" t="str">
        <f t="shared" si="7"/>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5"/>
        <v>Enter data here</v>
      </c>
      <c r="U22" s="162" t="str">
        <f t="shared" si="6"/>
        <v>Use column to left</v>
      </c>
      <c r="V22" s="158" t="s">
        <v>305</v>
      </c>
      <c r="W22" s="145" t="str">
        <f t="shared" si="7"/>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5"/>
        <v>Enter data here</v>
      </c>
      <c r="U23" s="162" t="str">
        <f t="shared" si="6"/>
        <v>Use column to left</v>
      </c>
      <c r="V23" s="158" t="s">
        <v>305</v>
      </c>
      <c r="W23" s="145" t="str">
        <f t="shared" si="7"/>
        <v>Unfilled fields on left</v>
      </c>
      <c r="Y23" s="13"/>
    </row>
    <row r="24" spans="2:26" s="6" customFormat="1">
      <c r="B24" s="143" t="s">
        <v>375</v>
      </c>
      <c r="C24" s="144" t="s">
        <v>380</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376</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376</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58"/>
      <c r="U27" s="175"/>
      <c r="V27" s="158"/>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58"/>
      <c r="U28" s="175"/>
      <c r="V28" s="158"/>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58"/>
      <c r="U29" s="175"/>
      <c r="V29" s="158"/>
      <c r="W29" s="145" t="str">
        <f t="shared" ref="W29:W33" si="8">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6"/>
      <c r="U30" s="15"/>
      <c r="V30" s="16"/>
      <c r="W30" s="145" t="str">
        <f t="shared" si="8"/>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6"/>
      <c r="U31" s="15"/>
      <c r="V31" s="16"/>
      <c r="W31" s="145" t="str">
        <f t="shared" si="8"/>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6"/>
      <c r="U32" s="15"/>
      <c r="V32" s="16"/>
      <c r="W32" s="145" t="str">
        <f t="shared" si="8"/>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8"/>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AE996C5D-C6A6-4A4D-A9C5-549C5855CA30}">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P5:W23 P25:W33 P24:U24 W24 O5:O33" unlockedFormula="1"/>
  </ignoredError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5" tint="0.79998168889431442"/>
  </sheetPr>
  <dimension ref="B2:J82"/>
  <sheetViews>
    <sheetView showGridLines="0" zoomScale="85" zoomScaleNormal="85" workbookViewId="0">
      <selection activeCell="J25" sqref="J25"/>
    </sheetView>
  </sheetViews>
  <sheetFormatPr defaultColWidth="7.28515625" defaultRowHeight="15"/>
  <cols>
    <col min="1" max="1" width="6.7109375" style="82" customWidth="1"/>
    <col min="2" max="2" width="38.28515625" style="82" customWidth="1"/>
    <col min="3" max="3" width="18" style="82" bestFit="1" customWidth="1"/>
    <col min="4" max="4" width="14" style="82" customWidth="1"/>
    <col min="5" max="5" width="17.7109375" style="82" customWidth="1"/>
    <col min="6" max="8" width="14" style="82" customWidth="1"/>
    <col min="9" max="9" width="16.7109375" style="82" customWidth="1"/>
    <col min="10" max="10" width="14.5703125" style="82" customWidth="1"/>
    <col min="11" max="13" width="18.28515625" style="82" customWidth="1"/>
    <col min="14" max="14" width="12.7109375" style="82" customWidth="1"/>
    <col min="15" max="16" width="25" style="82" customWidth="1"/>
    <col min="17" max="16384" width="7.28515625" style="82"/>
  </cols>
  <sheetData>
    <row r="2" spans="2:9">
      <c r="B2" s="126" t="s">
        <v>21</v>
      </c>
      <c r="C2" s="85"/>
      <c r="D2" s="85"/>
      <c r="E2" s="85"/>
      <c r="F2" s="85"/>
      <c r="G2" s="96"/>
      <c r="H2" s="85"/>
      <c r="I2" s="85"/>
    </row>
    <row r="3" spans="2:9">
      <c r="B3" s="83" t="s">
        <v>22</v>
      </c>
      <c r="C3" s="84" t="s">
        <v>23</v>
      </c>
      <c r="D3" s="84" t="s">
        <v>24</v>
      </c>
      <c r="E3" s="84" t="s">
        <v>25</v>
      </c>
      <c r="F3" s="84" t="s">
        <v>26</v>
      </c>
      <c r="G3" s="84" t="s">
        <v>27</v>
      </c>
      <c r="H3" s="85"/>
      <c r="I3" s="85"/>
    </row>
    <row r="4" spans="2:9">
      <c r="B4" s="86" t="s">
        <v>28</v>
      </c>
      <c r="C4" s="87"/>
      <c r="D4" s="87">
        <v>238.8</v>
      </c>
      <c r="E4" s="87">
        <f>2.388*10^-5</f>
        <v>2.3880000000000002E-5</v>
      </c>
      <c r="F4" s="87">
        <v>947.8</v>
      </c>
      <c r="G4" s="87">
        <v>0.27779999999999999</v>
      </c>
      <c r="H4" s="85"/>
      <c r="I4" s="88"/>
    </row>
    <row r="5" spans="2:9">
      <c r="B5" s="86" t="s">
        <v>29</v>
      </c>
      <c r="C5" s="89">
        <f>4.1868*10^-3</f>
        <v>4.1868000000000001E-3</v>
      </c>
      <c r="D5" s="87"/>
      <c r="E5" s="87">
        <f>10^-7</f>
        <v>9.9999999999999995E-8</v>
      </c>
      <c r="F5" s="87">
        <v>3.968</v>
      </c>
      <c r="G5" s="87">
        <f>1.163*10^-3</f>
        <v>1.163E-3</v>
      </c>
      <c r="H5" s="85"/>
      <c r="I5" s="90"/>
    </row>
    <row r="6" spans="2:9">
      <c r="B6" s="86" t="s">
        <v>30</v>
      </c>
      <c r="C6" s="91">
        <f>4.1868*10^4</f>
        <v>41868</v>
      </c>
      <c r="D6" s="91">
        <f>10^7</f>
        <v>10000000</v>
      </c>
      <c r="E6" s="87"/>
      <c r="F6" s="91">
        <f>3.968*10^7</f>
        <v>39680000</v>
      </c>
      <c r="G6" s="91">
        <v>11630</v>
      </c>
      <c r="H6" s="85"/>
      <c r="I6" s="92"/>
    </row>
    <row r="7" spans="2:9">
      <c r="B7" s="86" t="s">
        <v>31</v>
      </c>
      <c r="C7" s="89">
        <f>1.0551*10^-3</f>
        <v>1.0551E-3</v>
      </c>
      <c r="D7" s="87">
        <v>0.252</v>
      </c>
      <c r="E7" s="87">
        <f>2.52*10^-8</f>
        <v>2.5200000000000001E-8</v>
      </c>
      <c r="F7" s="87"/>
      <c r="G7" s="89">
        <f>1/F8</f>
        <v>2.9307107044088316E-4</v>
      </c>
      <c r="H7" s="85"/>
      <c r="I7" s="85"/>
    </row>
    <row r="8" spans="2:9">
      <c r="B8" s="86" t="s">
        <v>32</v>
      </c>
      <c r="C8" s="87">
        <v>3.6</v>
      </c>
      <c r="D8" s="87">
        <v>860</v>
      </c>
      <c r="E8" s="87">
        <f>8.6*10^-5</f>
        <v>8.6000000000000003E-5</v>
      </c>
      <c r="F8" s="91">
        <v>3412.1416300000001</v>
      </c>
      <c r="G8" s="93"/>
      <c r="H8" s="85"/>
      <c r="I8" s="94"/>
    </row>
    <row r="9" spans="2:9">
      <c r="B9" s="85"/>
      <c r="C9" s="95"/>
      <c r="D9" s="95"/>
      <c r="E9" s="95"/>
      <c r="F9" s="95"/>
      <c r="G9" s="96"/>
      <c r="H9" s="85"/>
      <c r="I9" s="85"/>
    </row>
    <row r="10" spans="2:9">
      <c r="B10" s="85"/>
      <c r="C10" s="95"/>
      <c r="D10" s="95"/>
      <c r="E10" s="95"/>
      <c r="F10" s="95"/>
      <c r="G10" s="96"/>
      <c r="H10" s="85"/>
      <c r="I10" s="85"/>
    </row>
    <row r="11" spans="2:9">
      <c r="B11" s="126" t="s">
        <v>33</v>
      </c>
      <c r="C11" s="95"/>
      <c r="D11" s="95"/>
      <c r="E11" s="95"/>
      <c r="F11" s="95"/>
      <c r="G11" s="96"/>
      <c r="H11" s="85"/>
      <c r="I11" s="85"/>
    </row>
    <row r="12" spans="2:9">
      <c r="B12" s="83" t="s">
        <v>22</v>
      </c>
      <c r="C12" s="84" t="s">
        <v>34</v>
      </c>
      <c r="D12" s="84" t="s">
        <v>35</v>
      </c>
      <c r="E12" s="84" t="s">
        <v>36</v>
      </c>
      <c r="F12" s="84" t="s">
        <v>37</v>
      </c>
      <c r="G12" s="84" t="s">
        <v>38</v>
      </c>
      <c r="H12" s="84" t="s">
        <v>39</v>
      </c>
      <c r="I12" s="85"/>
    </row>
    <row r="13" spans="2:9">
      <c r="B13" s="86" t="s">
        <v>40</v>
      </c>
      <c r="C13" s="87"/>
      <c r="D13" s="87">
        <v>1E-3</v>
      </c>
      <c r="E13" s="97">
        <f>9.84207*10^-4</f>
        <v>9.8420699999999996E-4</v>
      </c>
      <c r="F13" s="98">
        <f>1.10231*10^-3</f>
        <v>1.10231E-3</v>
      </c>
      <c r="G13" s="99">
        <v>2.2046199999999998</v>
      </c>
      <c r="H13" s="100">
        <f>G13*16</f>
        <v>35.273919999999997</v>
      </c>
      <c r="I13" s="85"/>
    </row>
    <row r="14" spans="2:9">
      <c r="B14" s="86" t="s">
        <v>41</v>
      </c>
      <c r="C14" s="87">
        <v>1000</v>
      </c>
      <c r="D14" s="87"/>
      <c r="E14" s="101">
        <v>0.98420700000000005</v>
      </c>
      <c r="F14" s="87">
        <v>1.1023099999999999</v>
      </c>
      <c r="G14" s="91">
        <v>2204.62</v>
      </c>
      <c r="H14" s="91">
        <f>G14*16</f>
        <v>35273.919999999998</v>
      </c>
      <c r="I14" s="85"/>
    </row>
    <row r="15" spans="2:9">
      <c r="B15" s="86" t="s">
        <v>42</v>
      </c>
      <c r="C15" s="91">
        <f>1/E13</f>
        <v>1016.0464211288886</v>
      </c>
      <c r="D15" s="102">
        <f>1/E14</f>
        <v>1.0160464211288884</v>
      </c>
      <c r="E15" s="87"/>
      <c r="F15" s="102">
        <v>1.1200000000000001</v>
      </c>
      <c r="G15" s="91">
        <v>2240</v>
      </c>
      <c r="H15" s="91">
        <f>G15*16</f>
        <v>35840</v>
      </c>
      <c r="I15" s="85"/>
    </row>
    <row r="16" spans="2:9">
      <c r="B16" s="86" t="s">
        <v>43</v>
      </c>
      <c r="C16" s="103">
        <f>1/F13</f>
        <v>907.18581887127937</v>
      </c>
      <c r="D16" s="101">
        <f>C16*D13</f>
        <v>0.90718581887127936</v>
      </c>
      <c r="E16" s="101">
        <f>C16*E13</f>
        <v>0.89285863323384518</v>
      </c>
      <c r="F16" s="87"/>
      <c r="G16" s="91">
        <v>2000</v>
      </c>
      <c r="H16" s="91">
        <f>G16*16</f>
        <v>32000</v>
      </c>
      <c r="I16" s="85"/>
    </row>
    <row r="17" spans="2:9">
      <c r="B17" s="86" t="s">
        <v>44</v>
      </c>
      <c r="C17" s="101">
        <f>1/G13</f>
        <v>0.45359290943563974</v>
      </c>
      <c r="D17" s="97">
        <f>1/G14</f>
        <v>4.535929094356397E-4</v>
      </c>
      <c r="E17" s="97">
        <f>1/G15</f>
        <v>4.4642857142857141E-4</v>
      </c>
      <c r="F17" s="87">
        <f>1/G16</f>
        <v>5.0000000000000001E-4</v>
      </c>
      <c r="G17" s="93"/>
      <c r="H17" s="87">
        <v>16</v>
      </c>
      <c r="I17" s="85"/>
    </row>
    <row r="18" spans="2:9">
      <c r="B18" s="86" t="s">
        <v>45</v>
      </c>
      <c r="C18" s="98">
        <f>C17/16</f>
        <v>2.8349556839727483E-2</v>
      </c>
      <c r="D18" s="104">
        <f>D17/16</f>
        <v>2.8349556839727481E-5</v>
      </c>
      <c r="E18" s="104">
        <f>E17/16</f>
        <v>2.7901785714285713E-5</v>
      </c>
      <c r="F18" s="104">
        <f>F17/16</f>
        <v>3.1250000000000001E-5</v>
      </c>
      <c r="G18" s="87">
        <f>1/16</f>
        <v>6.25E-2</v>
      </c>
      <c r="H18" s="87"/>
      <c r="I18" s="85"/>
    </row>
    <row r="19" spans="2:9">
      <c r="B19" s="85"/>
      <c r="C19" s="95"/>
      <c r="D19" s="95"/>
      <c r="E19" s="95"/>
      <c r="F19" s="95"/>
      <c r="G19" s="96"/>
      <c r="H19" s="85"/>
      <c r="I19" s="85"/>
    </row>
    <row r="20" spans="2:9">
      <c r="B20" s="85"/>
      <c r="C20" s="95"/>
      <c r="D20" s="95"/>
      <c r="E20" s="95"/>
      <c r="F20" s="95"/>
      <c r="G20" s="96"/>
      <c r="H20" s="85"/>
      <c r="I20" s="85"/>
    </row>
    <row r="21" spans="2:9">
      <c r="B21" s="126" t="s">
        <v>46</v>
      </c>
      <c r="C21" s="85"/>
      <c r="D21" s="85"/>
      <c r="E21" s="85"/>
      <c r="F21" s="85"/>
      <c r="G21" s="96"/>
      <c r="H21" s="85"/>
      <c r="I21" s="85"/>
    </row>
    <row r="22" spans="2:9">
      <c r="B22" s="83" t="s">
        <v>22</v>
      </c>
      <c r="C22" s="84" t="s">
        <v>47</v>
      </c>
      <c r="D22" s="84" t="s">
        <v>48</v>
      </c>
      <c r="E22" s="84" t="s">
        <v>49</v>
      </c>
      <c r="F22" s="84" t="s">
        <v>50</v>
      </c>
      <c r="G22" s="84" t="s">
        <v>51</v>
      </c>
      <c r="H22" s="84" t="s">
        <v>52</v>
      </c>
      <c r="I22" s="85"/>
    </row>
    <row r="23" spans="2:9">
      <c r="B23" s="86" t="s">
        <v>53</v>
      </c>
      <c r="C23" s="87"/>
      <c r="D23" s="101">
        <v>0.83267400000000003</v>
      </c>
      <c r="E23" s="98">
        <f>1/C25</f>
        <v>2.3809523809523808E-2</v>
      </c>
      <c r="F23" s="101">
        <v>0.13368099999999999</v>
      </c>
      <c r="G23" s="76">
        <v>3.7854100000000002</v>
      </c>
      <c r="H23" s="105">
        <v>3.7854100000000003E-3</v>
      </c>
      <c r="I23" s="106"/>
    </row>
    <row r="24" spans="2:9">
      <c r="B24" s="86" t="s">
        <v>54</v>
      </c>
      <c r="C24" s="101">
        <f>1/D23</f>
        <v>1.2009501917917456</v>
      </c>
      <c r="D24" s="87"/>
      <c r="E24" s="98">
        <f>1/D25</f>
        <v>2.8594052185517756E-2</v>
      </c>
      <c r="F24" s="101">
        <f>1/D26</f>
        <v>0.16054422258891232</v>
      </c>
      <c r="G24" s="101">
        <v>4.5460900000000004</v>
      </c>
      <c r="H24" s="98">
        <f>G24/1000</f>
        <v>4.54609E-3</v>
      </c>
      <c r="I24" s="106"/>
    </row>
    <row r="25" spans="2:9">
      <c r="B25" s="86" t="s">
        <v>55</v>
      </c>
      <c r="C25" s="77">
        <v>42</v>
      </c>
      <c r="D25" s="100">
        <f>C25*D23</f>
        <v>34.972307999999998</v>
      </c>
      <c r="E25" s="87"/>
      <c r="F25" s="102">
        <f>1/E26</f>
        <v>5.6146019999999996</v>
      </c>
      <c r="G25" s="107">
        <v>158.98722000000001</v>
      </c>
      <c r="H25" s="98">
        <f>G25/1000</f>
        <v>0.15898722000000001</v>
      </c>
      <c r="I25" s="106"/>
    </row>
    <row r="26" spans="2:9">
      <c r="B26" s="86" t="s">
        <v>216</v>
      </c>
      <c r="C26" s="101">
        <f>1/F23</f>
        <v>7.4804946103036336</v>
      </c>
      <c r="D26" s="102">
        <f>C26*D23</f>
        <v>6.2288133691399681</v>
      </c>
      <c r="E26" s="98">
        <f>C26*E23</f>
        <v>0.17810701453103889</v>
      </c>
      <c r="F26" s="87"/>
      <c r="G26" s="108">
        <v>28.316800000000001</v>
      </c>
      <c r="H26" s="98">
        <f>G26/1000</f>
        <v>2.83168E-2</v>
      </c>
      <c r="I26" s="106"/>
    </row>
    <row r="27" spans="2:9">
      <c r="B27" s="86" t="s">
        <v>56</v>
      </c>
      <c r="C27" s="101">
        <v>0.26417217685798894</v>
      </c>
      <c r="D27" s="101">
        <f>1/G24</f>
        <v>0.21996924829908776</v>
      </c>
      <c r="E27" s="98">
        <f>1/G25</f>
        <v>6.2898137347140223E-3</v>
      </c>
      <c r="F27" s="101">
        <f>1/G26</f>
        <v>3.5314724827664144E-2</v>
      </c>
      <c r="G27" s="93"/>
      <c r="H27" s="87">
        <v>1E-3</v>
      </c>
      <c r="I27" s="106"/>
    </row>
    <row r="28" spans="2:9">
      <c r="B28" s="86" t="s">
        <v>57</v>
      </c>
      <c r="C28" s="108">
        <f>1/H23</f>
        <v>264.17217685798892</v>
      </c>
      <c r="D28" s="108">
        <f>1/H24</f>
        <v>219.96924829908778</v>
      </c>
      <c r="E28" s="101">
        <f>1/H25</f>
        <v>6.2898137347140226</v>
      </c>
      <c r="F28" s="109">
        <f>1/H26</f>
        <v>35.314724827664143</v>
      </c>
      <c r="G28" s="91">
        <v>1000</v>
      </c>
      <c r="H28" s="93"/>
      <c r="I28" s="85"/>
    </row>
    <row r="29" spans="2:9">
      <c r="B29" s="85"/>
      <c r="C29" s="95"/>
      <c r="D29" s="95"/>
      <c r="E29" s="95"/>
      <c r="F29" s="95"/>
      <c r="G29" s="96"/>
      <c r="H29" s="85"/>
      <c r="I29" s="85"/>
    </row>
    <row r="30" spans="2:9">
      <c r="B30" s="85"/>
      <c r="C30" s="95"/>
      <c r="D30" s="95"/>
      <c r="E30" s="95"/>
      <c r="F30" s="95"/>
      <c r="G30" s="96"/>
      <c r="H30" s="85"/>
      <c r="I30" s="85"/>
    </row>
    <row r="31" spans="2:9">
      <c r="B31" s="126" t="s">
        <v>58</v>
      </c>
      <c r="C31" s="85"/>
      <c r="D31" s="85"/>
      <c r="E31" s="85"/>
      <c r="F31" s="85"/>
      <c r="G31" s="96"/>
      <c r="H31" s="85"/>
      <c r="I31" s="85"/>
    </row>
    <row r="32" spans="2:9">
      <c r="B32" s="83" t="s">
        <v>22</v>
      </c>
      <c r="C32" s="84" t="s">
        <v>59</v>
      </c>
      <c r="D32" s="84" t="s">
        <v>60</v>
      </c>
      <c r="E32" s="84" t="s">
        <v>61</v>
      </c>
      <c r="F32" s="84" t="s">
        <v>62</v>
      </c>
      <c r="G32" s="84" t="s">
        <v>63</v>
      </c>
      <c r="H32" s="84" t="s">
        <v>64</v>
      </c>
      <c r="I32" s="84" t="s">
        <v>65</v>
      </c>
    </row>
    <row r="33" spans="2:9">
      <c r="B33" s="86" t="s">
        <v>66</v>
      </c>
      <c r="C33" s="87"/>
      <c r="D33" s="101">
        <f>1/C34</f>
        <v>8.3333333333333329E-2</v>
      </c>
      <c r="E33" s="98">
        <f>1/C35</f>
        <v>2.7777777777777776E-2</v>
      </c>
      <c r="F33" s="89">
        <f>1/C36</f>
        <v>1.5782828282828283E-5</v>
      </c>
      <c r="G33" s="78">
        <f>1/C37</f>
        <v>1.3714900141812068E-5</v>
      </c>
      <c r="H33" s="98">
        <f>1/C38</f>
        <v>2.5399986284007407E-2</v>
      </c>
      <c r="I33" s="89">
        <f>H33/1000</f>
        <v>2.5399986284007409E-5</v>
      </c>
    </row>
    <row r="34" spans="2:9">
      <c r="B34" s="86" t="s">
        <v>67</v>
      </c>
      <c r="C34" s="91">
        <v>12</v>
      </c>
      <c r="D34" s="87"/>
      <c r="E34" s="101">
        <f>1/D35</f>
        <v>0.33333333333333331</v>
      </c>
      <c r="F34" s="97">
        <f>1/D36</f>
        <v>1.8939393939393939E-4</v>
      </c>
      <c r="G34" s="97">
        <f>1/D37</f>
        <v>1.6457880170174483E-4</v>
      </c>
      <c r="H34" s="101">
        <f>1/D38</f>
        <v>0.30479983540808891</v>
      </c>
      <c r="I34" s="97">
        <f>H34/1000</f>
        <v>3.0479983540808892E-4</v>
      </c>
    </row>
    <row r="35" spans="2:9">
      <c r="B35" s="86" t="s">
        <v>68</v>
      </c>
      <c r="C35" s="91">
        <v>36</v>
      </c>
      <c r="D35" s="91">
        <f>C35*D33</f>
        <v>3</v>
      </c>
      <c r="E35" s="87"/>
      <c r="F35" s="110">
        <f>1/E36</f>
        <v>5.6818181818181815E-4</v>
      </c>
      <c r="G35" s="97">
        <f>1/E37</f>
        <v>4.9373640510523445E-4</v>
      </c>
      <c r="H35" s="101">
        <f>1/E38</f>
        <v>0.91439950622426669</v>
      </c>
      <c r="I35" s="109">
        <f>H35/1000</f>
        <v>9.143995062242667E-4</v>
      </c>
    </row>
    <row r="36" spans="2:9">
      <c r="B36" s="86" t="s">
        <v>69</v>
      </c>
      <c r="C36" s="91">
        <v>63360</v>
      </c>
      <c r="D36" s="91">
        <f>C36*D33</f>
        <v>5280</v>
      </c>
      <c r="E36" s="91">
        <f>C36*E33</f>
        <v>1760</v>
      </c>
      <c r="F36" s="87"/>
      <c r="G36" s="101">
        <f>1/F37</f>
        <v>0.86897607298521262</v>
      </c>
      <c r="H36" s="91">
        <f>1/F38</f>
        <v>1609.3431309547093</v>
      </c>
      <c r="I36" s="101">
        <f>H36/1000</f>
        <v>1.6093431309547093</v>
      </c>
    </row>
    <row r="37" spans="2:9">
      <c r="B37" s="86" t="s">
        <v>70</v>
      </c>
      <c r="C37" s="91">
        <v>72913.399999999994</v>
      </c>
      <c r="D37" s="91">
        <f>C37*D33</f>
        <v>6076.1166666666659</v>
      </c>
      <c r="E37" s="91">
        <f>C37*E33</f>
        <v>2025.372222222222</v>
      </c>
      <c r="F37" s="101">
        <f>C37*F33</f>
        <v>1.1507796717171717</v>
      </c>
      <c r="G37" s="93"/>
      <c r="H37" s="91">
        <f>1/G38</f>
        <v>1851.9993599203453</v>
      </c>
      <c r="I37" s="101">
        <f>H37/1000</f>
        <v>1.8519993599203453</v>
      </c>
    </row>
    <row r="38" spans="2:9">
      <c r="B38" s="86" t="s">
        <v>71</v>
      </c>
      <c r="C38" s="107">
        <v>39.370100000000001</v>
      </c>
      <c r="D38" s="109">
        <f>C38*D33</f>
        <v>3.2808416666666664</v>
      </c>
      <c r="E38" s="109">
        <f>C38*E33</f>
        <v>1.0936138888888889</v>
      </c>
      <c r="F38" s="97">
        <f>C38*F33</f>
        <v>6.2137152777777776E-4</v>
      </c>
      <c r="G38" s="97">
        <f>C38*G33</f>
        <v>5.3995699007315537E-4</v>
      </c>
      <c r="H38" s="93"/>
      <c r="I38" s="101">
        <f>1/H39</f>
        <v>1E-3</v>
      </c>
    </row>
    <row r="39" spans="2:9">
      <c r="B39" s="86" t="s">
        <v>72</v>
      </c>
      <c r="C39" s="91">
        <f>C38*1000</f>
        <v>39370.1</v>
      </c>
      <c r="D39" s="108">
        <f>D38*1000</f>
        <v>3280.8416666666662</v>
      </c>
      <c r="E39" s="108">
        <f>E38*1000</f>
        <v>1093.6138888888888</v>
      </c>
      <c r="F39" s="100">
        <f>F38*1000</f>
        <v>0.62137152777777771</v>
      </c>
      <c r="G39" s="100">
        <f>G38*1000</f>
        <v>0.53995699007315534</v>
      </c>
      <c r="H39" s="91">
        <v>1000</v>
      </c>
      <c r="I39" s="111"/>
    </row>
    <row r="40" spans="2:9">
      <c r="B40" s="112"/>
      <c r="C40" s="113"/>
      <c r="D40" s="113"/>
      <c r="E40" s="113"/>
      <c r="F40" s="113"/>
      <c r="G40" s="114"/>
      <c r="H40" s="112"/>
      <c r="I40" s="112"/>
    </row>
    <row r="41" spans="2:9">
      <c r="B41" s="112"/>
      <c r="C41" s="113"/>
      <c r="D41" s="113"/>
      <c r="E41" s="113"/>
      <c r="F41" s="113"/>
      <c r="G41" s="114"/>
      <c r="H41" s="112"/>
      <c r="I41" s="112"/>
    </row>
    <row r="42" spans="2:9">
      <c r="B42" s="127" t="s">
        <v>73</v>
      </c>
      <c r="C42" s="112"/>
    </row>
    <row r="43" spans="2:9">
      <c r="B43" s="83" t="s">
        <v>22</v>
      </c>
      <c r="C43" s="84" t="s">
        <v>74</v>
      </c>
      <c r="D43" s="84" t="s">
        <v>75</v>
      </c>
    </row>
    <row r="44" spans="2:9">
      <c r="B44" s="86" t="s">
        <v>76</v>
      </c>
      <c r="C44" s="87"/>
      <c r="D44" s="101">
        <v>0.74569987199999999</v>
      </c>
    </row>
    <row r="45" spans="2:9">
      <c r="B45" s="86" t="s">
        <v>77</v>
      </c>
      <c r="C45" s="102">
        <f>1/D44</f>
        <v>1.3410220888438076</v>
      </c>
      <c r="D45" s="87"/>
    </row>
    <row r="48" spans="2:9">
      <c r="B48" s="126" t="s">
        <v>78</v>
      </c>
      <c r="C48" s="128"/>
      <c r="D48" s="128"/>
    </row>
    <row r="49" spans="2:4">
      <c r="B49" s="83" t="s">
        <v>79</v>
      </c>
      <c r="C49" s="83" t="s">
        <v>80</v>
      </c>
      <c r="D49" s="83" t="s">
        <v>81</v>
      </c>
    </row>
    <row r="50" spans="2:4">
      <c r="B50" s="79" t="s">
        <v>82</v>
      </c>
      <c r="C50" s="79" t="s">
        <v>83</v>
      </c>
      <c r="D50" s="79" t="s">
        <v>84</v>
      </c>
    </row>
    <row r="51" spans="2:4">
      <c r="B51" s="79" t="s">
        <v>85</v>
      </c>
      <c r="C51" s="79" t="s">
        <v>86</v>
      </c>
      <c r="D51" s="79" t="s">
        <v>87</v>
      </c>
    </row>
    <row r="52" spans="2:4">
      <c r="B52" s="79" t="s">
        <v>88</v>
      </c>
      <c r="C52" s="79" t="s">
        <v>89</v>
      </c>
      <c r="D52" s="79" t="s">
        <v>90</v>
      </c>
    </row>
    <row r="53" spans="2:4">
      <c r="B53" s="79" t="s">
        <v>91</v>
      </c>
      <c r="C53" s="79" t="s">
        <v>92</v>
      </c>
      <c r="D53" s="79" t="s">
        <v>93</v>
      </c>
    </row>
    <row r="54" spans="2:4">
      <c r="B54" s="79" t="s">
        <v>94</v>
      </c>
      <c r="C54" s="79" t="s">
        <v>95</v>
      </c>
      <c r="D54" s="79" t="s">
        <v>96</v>
      </c>
    </row>
    <row r="55" spans="2:4">
      <c r="B55" s="79" t="s">
        <v>97</v>
      </c>
      <c r="C55" s="79" t="s">
        <v>98</v>
      </c>
      <c r="D55" s="79" t="s">
        <v>99</v>
      </c>
    </row>
    <row r="56" spans="2:4">
      <c r="B56" s="79" t="s">
        <v>100</v>
      </c>
      <c r="C56" s="79" t="s">
        <v>101</v>
      </c>
      <c r="D56" s="79" t="s">
        <v>102</v>
      </c>
    </row>
    <row r="57" spans="2:4">
      <c r="B57" s="79" t="s">
        <v>103</v>
      </c>
      <c r="C57" s="79" t="s">
        <v>104</v>
      </c>
      <c r="D57" s="79" t="s">
        <v>105</v>
      </c>
    </row>
    <row r="58" spans="2:4">
      <c r="B58" s="79" t="s">
        <v>106</v>
      </c>
      <c r="C58" s="79" t="s">
        <v>107</v>
      </c>
      <c r="D58" s="79" t="s">
        <v>108</v>
      </c>
    </row>
    <row r="59" spans="2:4">
      <c r="B59" s="79" t="s">
        <v>109</v>
      </c>
      <c r="C59" s="79" t="s">
        <v>110</v>
      </c>
      <c r="D59" s="79" t="s">
        <v>111</v>
      </c>
    </row>
    <row r="60" spans="2:4">
      <c r="B60" s="80" t="s">
        <v>112</v>
      </c>
      <c r="C60" s="79" t="s">
        <v>113</v>
      </c>
      <c r="D60" s="79" t="s">
        <v>114</v>
      </c>
    </row>
    <row r="61" spans="2:4">
      <c r="B61" s="80" t="s">
        <v>115</v>
      </c>
      <c r="C61" s="79" t="s">
        <v>116</v>
      </c>
      <c r="D61" s="79" t="s">
        <v>117</v>
      </c>
    </row>
    <row r="62" spans="2:4">
      <c r="B62" s="80" t="s">
        <v>118</v>
      </c>
      <c r="C62" s="79" t="s">
        <v>119</v>
      </c>
      <c r="D62" s="79" t="s">
        <v>64</v>
      </c>
    </row>
    <row r="63" spans="2:4">
      <c r="B63" s="80" t="s">
        <v>120</v>
      </c>
      <c r="C63" s="79" t="s">
        <v>121</v>
      </c>
      <c r="D63" s="79" t="s">
        <v>64</v>
      </c>
    </row>
    <row r="64" spans="2:4">
      <c r="B64" s="80" t="s">
        <v>122</v>
      </c>
      <c r="C64" s="79" t="s">
        <v>123</v>
      </c>
      <c r="D64" s="79" t="s">
        <v>124</v>
      </c>
    </row>
    <row r="65" spans="2:10">
      <c r="B65" s="80" t="s">
        <v>125</v>
      </c>
      <c r="C65" s="79" t="s">
        <v>126</v>
      </c>
      <c r="D65" s="79" t="s">
        <v>127</v>
      </c>
    </row>
    <row r="66" spans="2:10">
      <c r="B66" s="81" t="s">
        <v>128</v>
      </c>
      <c r="C66" s="79" t="s">
        <v>129</v>
      </c>
      <c r="D66" s="79" t="s">
        <v>130</v>
      </c>
    </row>
    <row r="67" spans="2:10">
      <c r="B67" s="81" t="s">
        <v>131</v>
      </c>
      <c r="C67" s="79" t="s">
        <v>132</v>
      </c>
      <c r="D67" s="79" t="s">
        <v>133</v>
      </c>
    </row>
    <row r="68" spans="2:10">
      <c r="B68" s="81" t="s">
        <v>134</v>
      </c>
      <c r="C68" s="79" t="s">
        <v>135</v>
      </c>
      <c r="D68" s="79" t="s">
        <v>136</v>
      </c>
    </row>
    <row r="69" spans="2:10">
      <c r="B69" s="81" t="s">
        <v>137</v>
      </c>
      <c r="C69" s="79" t="s">
        <v>138</v>
      </c>
      <c r="D69" s="79" t="s">
        <v>139</v>
      </c>
    </row>
    <row r="71" spans="2:10">
      <c r="B71" s="129" t="s">
        <v>140</v>
      </c>
      <c r="C71" s="130"/>
    </row>
    <row r="72" spans="2:10">
      <c r="B72" s="131" t="s">
        <v>141</v>
      </c>
    </row>
    <row r="73" spans="2:10">
      <c r="B73" s="131" t="s">
        <v>142</v>
      </c>
    </row>
    <row r="76" spans="2:10">
      <c r="B76" s="126" t="s">
        <v>143</v>
      </c>
    </row>
    <row r="77" spans="2:10">
      <c r="B77" s="83" t="s">
        <v>144</v>
      </c>
      <c r="C77" s="83" t="s">
        <v>145</v>
      </c>
      <c r="D77" s="83" t="s">
        <v>140</v>
      </c>
      <c r="E77" s="115"/>
      <c r="F77" s="115"/>
      <c r="G77" s="115"/>
      <c r="H77" s="115"/>
      <c r="I77" s="115"/>
      <c r="J77" s="115"/>
    </row>
    <row r="78" spans="2:10">
      <c r="B78" s="116" t="s">
        <v>146</v>
      </c>
      <c r="C78" s="116">
        <v>1.9</v>
      </c>
      <c r="D78" s="117" t="s">
        <v>186</v>
      </c>
      <c r="E78" s="115"/>
      <c r="F78" s="115"/>
      <c r="G78" s="115"/>
      <c r="H78" s="115"/>
      <c r="I78" s="115"/>
      <c r="J78" s="115"/>
    </row>
    <row r="79" spans="2:10">
      <c r="B79" s="116" t="s">
        <v>187</v>
      </c>
      <c r="C79" s="116">
        <v>11</v>
      </c>
      <c r="D79" s="117" t="s">
        <v>192</v>
      </c>
      <c r="E79" s="115"/>
      <c r="F79" s="115"/>
      <c r="G79" s="115"/>
      <c r="H79" s="115"/>
      <c r="I79" s="115"/>
      <c r="J79" s="115"/>
    </row>
    <row r="80" spans="2:10">
      <c r="B80" s="116" t="s">
        <v>147</v>
      </c>
      <c r="C80" s="116">
        <v>28</v>
      </c>
      <c r="D80" s="172" t="str">
        <f>Assumptions!$C$27</f>
        <v>https://www.gov.uk/government/publications/rtfo-and-saf-mandate-technical-information</v>
      </c>
      <c r="E80" s="115"/>
      <c r="F80" s="115"/>
      <c r="G80" s="115"/>
      <c r="H80" s="115"/>
      <c r="I80" s="115"/>
      <c r="J80" s="115"/>
    </row>
    <row r="81" spans="2:4">
      <c r="B81" s="116" t="s">
        <v>148</v>
      </c>
      <c r="C81" s="116">
        <v>265</v>
      </c>
      <c r="D81" s="172" t="str">
        <f>Assumptions!$C$27</f>
        <v>https://www.gov.uk/government/publications/rtfo-and-saf-mandate-technical-information</v>
      </c>
    </row>
    <row r="82" spans="2:4">
      <c r="B82" s="126"/>
    </row>
  </sheetData>
  <hyperlinks>
    <hyperlink ref="D78" r:id="rId1" xr:uid="{00000000-0004-0000-0200-000000000000}"/>
    <hyperlink ref="D79" r:id="rId2" xr:uid="{936FCBFA-3E4B-47E4-ABD8-113A1E56E0AA}"/>
    <hyperlink ref="D80" r:id="rId3" display="https://www.gov.uk/government/publications/renewable-transport-fuel-obligation-rtfo-compliance-reporting-and-verification" xr:uid="{4FC56B1E-DD0F-4F6A-9423-CAB9FE6422DD}"/>
    <hyperlink ref="D81" r:id="rId4" display="https://www.gov.uk/government/publications/renewable-transport-fuel-obligation-rtfo-compliance-reporting-and-verification" xr:uid="{D37B9D50-F6F0-4478-9F54-5D468788D003}"/>
  </hyperlinks>
  <pageMargins left="0.70000000000000007" right="0.70000000000000007" top="0.75" bottom="0.75" header="0.30000000000000004" footer="0.30000000000000004"/>
  <pageSetup paperSize="9" orientation="portrait" r:id="rId5"/>
  <legacy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79998168889431442"/>
  </sheetPr>
  <dimension ref="B2:BE54"/>
  <sheetViews>
    <sheetView showGridLines="0" zoomScale="85" zoomScaleNormal="85" workbookViewId="0"/>
  </sheetViews>
  <sheetFormatPr defaultColWidth="10" defaultRowHeight="15" customHeight="1"/>
  <cols>
    <col min="1" max="1" width="6.7109375" customWidth="1"/>
    <col min="2" max="2" width="66.28515625" customWidth="1"/>
    <col min="3" max="38" width="7.7109375" customWidth="1"/>
  </cols>
  <sheetData>
    <row r="2" spans="2:50" ht="18">
      <c r="B2" s="24" t="s">
        <v>386</v>
      </c>
    </row>
    <row r="3" spans="2:50">
      <c r="B3" s="57"/>
      <c r="C3" s="56"/>
      <c r="D3" s="56"/>
      <c r="E3" s="56"/>
      <c r="F3" s="56"/>
      <c r="G3" s="56"/>
      <c r="H3" s="56"/>
      <c r="I3" s="56"/>
      <c r="J3" s="56"/>
      <c r="K3" s="56"/>
      <c r="L3" s="56"/>
      <c r="M3" s="56"/>
      <c r="N3" s="56"/>
      <c r="O3" s="56"/>
      <c r="P3" s="56"/>
      <c r="Q3" s="56"/>
    </row>
    <row r="4" spans="2:50" s="56" customFormat="1">
      <c r="B4" s="64" t="s">
        <v>385</v>
      </c>
      <c r="C4" s="120">
        <v>2021</v>
      </c>
      <c r="D4" s="120">
        <v>2022</v>
      </c>
      <c r="E4" s="120">
        <v>2023</v>
      </c>
      <c r="F4" s="120">
        <v>2024</v>
      </c>
      <c r="G4" s="65">
        <f t="shared" ref="G4:T4" si="0">F4+1</f>
        <v>2025</v>
      </c>
      <c r="H4" s="65">
        <f t="shared" si="0"/>
        <v>2026</v>
      </c>
      <c r="I4" s="65">
        <f t="shared" si="0"/>
        <v>2027</v>
      </c>
      <c r="J4" s="65">
        <f t="shared" si="0"/>
        <v>2028</v>
      </c>
      <c r="K4" s="65">
        <f t="shared" si="0"/>
        <v>2029</v>
      </c>
      <c r="L4" s="65">
        <f t="shared" si="0"/>
        <v>2030</v>
      </c>
      <c r="M4" s="65">
        <f t="shared" si="0"/>
        <v>2031</v>
      </c>
      <c r="N4" s="65">
        <f t="shared" si="0"/>
        <v>2032</v>
      </c>
      <c r="O4" s="65">
        <f t="shared" si="0"/>
        <v>2033</v>
      </c>
      <c r="P4" s="65">
        <f t="shared" si="0"/>
        <v>2034</v>
      </c>
      <c r="Q4" s="65">
        <f t="shared" si="0"/>
        <v>2035</v>
      </c>
      <c r="R4" s="65">
        <f t="shared" si="0"/>
        <v>2036</v>
      </c>
      <c r="S4" s="65">
        <f t="shared" si="0"/>
        <v>2037</v>
      </c>
      <c r="T4" s="65">
        <f t="shared" si="0"/>
        <v>2038</v>
      </c>
      <c r="U4" s="65">
        <f t="shared" ref="U4" si="1">T4+1</f>
        <v>2039</v>
      </c>
      <c r="V4" s="65">
        <f t="shared" ref="V4" si="2">U4+1</f>
        <v>2040</v>
      </c>
      <c r="W4" s="65">
        <f t="shared" ref="W4" si="3">V4+1</f>
        <v>2041</v>
      </c>
      <c r="X4" s="65">
        <f t="shared" ref="X4" si="4">W4+1</f>
        <v>2042</v>
      </c>
      <c r="Y4" s="65">
        <f t="shared" ref="Y4" si="5">X4+1</f>
        <v>2043</v>
      </c>
      <c r="Z4" s="65">
        <f t="shared" ref="Z4" si="6">Y4+1</f>
        <v>2044</v>
      </c>
      <c r="AA4" s="65">
        <f t="shared" ref="AA4" si="7">Z4+1</f>
        <v>2045</v>
      </c>
      <c r="AB4" s="65">
        <f t="shared" ref="AB4" si="8">AA4+1</f>
        <v>2046</v>
      </c>
      <c r="AC4" s="65">
        <f t="shared" ref="AC4" si="9">AB4+1</f>
        <v>2047</v>
      </c>
      <c r="AD4" s="65">
        <f t="shared" ref="AD4" si="10">AC4+1</f>
        <v>2048</v>
      </c>
      <c r="AE4" s="65">
        <f t="shared" ref="AE4" si="11">AD4+1</f>
        <v>2049</v>
      </c>
      <c r="AF4" s="65">
        <f t="shared" ref="AF4" si="12">AE4+1</f>
        <v>2050</v>
      </c>
    </row>
    <row r="5" spans="2:50">
      <c r="B5" s="123" t="s">
        <v>233</v>
      </c>
      <c r="C5" s="26"/>
      <c r="D5" s="26"/>
      <c r="E5" s="26"/>
      <c r="F5" s="67"/>
      <c r="G5" s="67">
        <v>31</v>
      </c>
      <c r="H5" s="67">
        <v>31</v>
      </c>
      <c r="I5" s="67">
        <v>31</v>
      </c>
      <c r="J5" s="67">
        <v>31</v>
      </c>
      <c r="K5" s="67">
        <v>31</v>
      </c>
      <c r="L5" s="67">
        <v>31</v>
      </c>
      <c r="M5" s="67">
        <v>31</v>
      </c>
      <c r="N5" s="67">
        <v>31</v>
      </c>
      <c r="O5" s="67">
        <v>31</v>
      </c>
      <c r="P5" s="67">
        <v>31</v>
      </c>
      <c r="Q5" s="67">
        <v>31</v>
      </c>
      <c r="R5" s="67">
        <v>31</v>
      </c>
      <c r="S5" s="67">
        <v>31</v>
      </c>
      <c r="T5" s="67">
        <v>31</v>
      </c>
      <c r="U5" s="67">
        <v>31</v>
      </c>
      <c r="V5" s="67">
        <v>31</v>
      </c>
      <c r="W5" s="67">
        <v>31</v>
      </c>
      <c r="X5" s="67">
        <v>31</v>
      </c>
      <c r="Y5" s="67">
        <v>31</v>
      </c>
      <c r="Z5" s="67">
        <v>31</v>
      </c>
      <c r="AA5" s="67">
        <v>31</v>
      </c>
      <c r="AB5" s="67">
        <v>31</v>
      </c>
      <c r="AC5" s="67">
        <v>31</v>
      </c>
      <c r="AD5" s="67">
        <v>31</v>
      </c>
      <c r="AE5" s="67">
        <v>31</v>
      </c>
      <c r="AF5" s="67">
        <v>31</v>
      </c>
    </row>
    <row r="6" spans="2:50">
      <c r="B6" s="123" t="s">
        <v>234</v>
      </c>
      <c r="C6" s="26"/>
      <c r="D6" s="26"/>
      <c r="E6" s="26"/>
      <c r="F6" s="67"/>
      <c r="G6" s="67">
        <v>31</v>
      </c>
      <c r="H6" s="67">
        <v>31</v>
      </c>
      <c r="I6" s="67">
        <v>31</v>
      </c>
      <c r="J6" s="67">
        <v>31</v>
      </c>
      <c r="K6" s="67">
        <v>31</v>
      </c>
      <c r="L6" s="67">
        <v>31</v>
      </c>
      <c r="M6" s="67">
        <v>31</v>
      </c>
      <c r="N6" s="67">
        <v>31</v>
      </c>
      <c r="O6" s="67">
        <v>31</v>
      </c>
      <c r="P6" s="67">
        <v>31</v>
      </c>
      <c r="Q6" s="67">
        <v>31</v>
      </c>
      <c r="R6" s="67">
        <v>31</v>
      </c>
      <c r="S6" s="67">
        <v>31</v>
      </c>
      <c r="T6" s="67">
        <v>31</v>
      </c>
      <c r="U6" s="67">
        <v>31</v>
      </c>
      <c r="V6" s="67">
        <v>31</v>
      </c>
      <c r="W6" s="67">
        <v>31</v>
      </c>
      <c r="X6" s="67">
        <v>31</v>
      </c>
      <c r="Y6" s="67">
        <v>31</v>
      </c>
      <c r="Z6" s="67">
        <v>31</v>
      </c>
      <c r="AA6" s="67">
        <v>31</v>
      </c>
      <c r="AB6" s="67">
        <v>31</v>
      </c>
      <c r="AC6" s="67">
        <v>31</v>
      </c>
      <c r="AD6" s="67">
        <v>31</v>
      </c>
      <c r="AE6" s="67">
        <v>31</v>
      </c>
      <c r="AF6" s="67">
        <v>31</v>
      </c>
    </row>
    <row r="7" spans="2:50">
      <c r="B7" s="123" t="s">
        <v>235</v>
      </c>
      <c r="C7" s="26"/>
      <c r="D7" s="26"/>
      <c r="E7" s="26"/>
      <c r="F7" s="67"/>
      <c r="G7" s="67">
        <v>31</v>
      </c>
      <c r="H7" s="67">
        <v>31</v>
      </c>
      <c r="I7" s="67">
        <v>31</v>
      </c>
      <c r="J7" s="67">
        <v>31</v>
      </c>
      <c r="K7" s="67">
        <v>31</v>
      </c>
      <c r="L7" s="67">
        <v>31</v>
      </c>
      <c r="M7" s="67">
        <v>31</v>
      </c>
      <c r="N7" s="67">
        <v>31</v>
      </c>
      <c r="O7" s="67">
        <v>31</v>
      </c>
      <c r="P7" s="67">
        <v>31</v>
      </c>
      <c r="Q7" s="67">
        <v>31</v>
      </c>
      <c r="R7" s="67">
        <v>31</v>
      </c>
      <c r="S7" s="67">
        <v>31</v>
      </c>
      <c r="T7" s="67">
        <v>31</v>
      </c>
      <c r="U7" s="67">
        <v>31</v>
      </c>
      <c r="V7" s="67">
        <v>31</v>
      </c>
      <c r="W7" s="67">
        <v>31</v>
      </c>
      <c r="X7" s="67">
        <v>31</v>
      </c>
      <c r="Y7" s="67">
        <v>31</v>
      </c>
      <c r="Z7" s="67">
        <v>31</v>
      </c>
      <c r="AA7" s="67">
        <v>31</v>
      </c>
      <c r="AB7" s="67">
        <v>31</v>
      </c>
      <c r="AC7" s="67">
        <v>31</v>
      </c>
      <c r="AD7" s="67">
        <v>31</v>
      </c>
      <c r="AE7" s="67">
        <v>31</v>
      </c>
      <c r="AF7" s="67">
        <v>31</v>
      </c>
    </row>
    <row r="8" spans="2:50">
      <c r="B8" s="123" t="s">
        <v>236</v>
      </c>
      <c r="C8" s="26"/>
      <c r="D8" s="26"/>
      <c r="E8" s="26"/>
      <c r="F8" s="66"/>
      <c r="G8" s="66">
        <v>43.08</v>
      </c>
      <c r="H8" s="66">
        <v>41.518000000000001</v>
      </c>
      <c r="I8" s="66">
        <v>41.821600000000004</v>
      </c>
      <c r="J8" s="66">
        <v>38.622799999999998</v>
      </c>
      <c r="K8" s="66">
        <v>36.097200000000001</v>
      </c>
      <c r="L8" s="66">
        <v>31.881999999999998</v>
      </c>
      <c r="M8" s="66">
        <v>29.2684</v>
      </c>
      <c r="N8" s="66">
        <v>27.433600000000002</v>
      </c>
      <c r="O8" s="66">
        <v>25.365600000000001</v>
      </c>
      <c r="P8" s="66">
        <v>23.948799999999999</v>
      </c>
      <c r="Q8" s="66">
        <v>23.5</v>
      </c>
      <c r="R8" s="66">
        <v>23.5</v>
      </c>
      <c r="S8" s="66">
        <v>23.5</v>
      </c>
      <c r="T8" s="66">
        <v>23.5</v>
      </c>
      <c r="U8" s="66">
        <v>23.5</v>
      </c>
      <c r="V8" s="66">
        <v>23.5</v>
      </c>
      <c r="W8" s="66">
        <v>23.5</v>
      </c>
      <c r="X8" s="66">
        <v>23.5</v>
      </c>
      <c r="Y8" s="66">
        <v>23.5</v>
      </c>
      <c r="Z8" s="66">
        <v>23.5</v>
      </c>
      <c r="AA8" s="66">
        <v>23.5</v>
      </c>
      <c r="AB8" s="66">
        <v>23.5</v>
      </c>
      <c r="AC8" s="66">
        <v>23.5</v>
      </c>
      <c r="AD8" s="66">
        <v>23.5</v>
      </c>
      <c r="AE8" s="66">
        <v>23.5</v>
      </c>
      <c r="AF8" s="66">
        <v>23.5</v>
      </c>
    </row>
    <row r="9" spans="2:50"/>
    <row r="10" spans="2:50">
      <c r="B10" t="s">
        <v>320</v>
      </c>
    </row>
    <row r="11" spans="2:50"/>
    <row r="12" spans="2:50"/>
    <row r="13" spans="2:50" ht="15" customHeight="1">
      <c r="B13" s="24" t="s">
        <v>193</v>
      </c>
    </row>
    <row r="15" spans="2:50" ht="15" customHeight="1">
      <c r="B15" s="118" t="s">
        <v>385</v>
      </c>
      <c r="C15" s="120">
        <v>2021</v>
      </c>
      <c r="D15" s="120">
        <v>2022</v>
      </c>
      <c r="E15" s="120">
        <v>2023</v>
      </c>
      <c r="F15" s="120">
        <v>2024</v>
      </c>
      <c r="G15" s="121">
        <f t="shared" ref="G15:T15" si="13">F15+1</f>
        <v>2025</v>
      </c>
      <c r="H15" s="121">
        <f t="shared" si="13"/>
        <v>2026</v>
      </c>
      <c r="I15" s="121">
        <f t="shared" si="13"/>
        <v>2027</v>
      </c>
      <c r="J15" s="121">
        <f t="shared" si="13"/>
        <v>2028</v>
      </c>
      <c r="K15" s="121">
        <f t="shared" si="13"/>
        <v>2029</v>
      </c>
      <c r="L15" s="121">
        <f t="shared" si="13"/>
        <v>2030</v>
      </c>
      <c r="M15" s="121">
        <f t="shared" si="13"/>
        <v>2031</v>
      </c>
      <c r="N15" s="121">
        <f t="shared" si="13"/>
        <v>2032</v>
      </c>
      <c r="O15" s="121">
        <f t="shared" si="13"/>
        <v>2033</v>
      </c>
      <c r="P15" s="121">
        <f t="shared" si="13"/>
        <v>2034</v>
      </c>
      <c r="Q15" s="121">
        <f t="shared" si="13"/>
        <v>2035</v>
      </c>
      <c r="R15" s="121">
        <f t="shared" si="13"/>
        <v>2036</v>
      </c>
      <c r="S15" s="121">
        <f t="shared" si="13"/>
        <v>2037</v>
      </c>
      <c r="T15" s="121">
        <f t="shared" si="13"/>
        <v>2038</v>
      </c>
      <c r="U15" s="121">
        <f t="shared" ref="U15" si="14">T15+1</f>
        <v>2039</v>
      </c>
      <c r="V15" s="121">
        <f t="shared" ref="V15" si="15">U15+1</f>
        <v>2040</v>
      </c>
      <c r="W15" s="121">
        <f t="shared" ref="W15" si="16">V15+1</f>
        <v>2041</v>
      </c>
      <c r="X15" s="121">
        <f t="shared" ref="X15" si="17">W15+1</f>
        <v>2042</v>
      </c>
      <c r="Y15" s="121">
        <f t="shared" ref="Y15" si="18">X15+1</f>
        <v>2043</v>
      </c>
      <c r="Z15" s="121">
        <f t="shared" ref="Z15" si="19">Y15+1</f>
        <v>2044</v>
      </c>
      <c r="AA15" s="121">
        <f t="shared" ref="AA15" si="20">Z15+1</f>
        <v>2045</v>
      </c>
      <c r="AB15" s="121">
        <f t="shared" ref="AB15" si="21">AA15+1</f>
        <v>2046</v>
      </c>
      <c r="AC15" s="121">
        <f t="shared" ref="AC15" si="22">AB15+1</f>
        <v>2047</v>
      </c>
      <c r="AD15" s="121">
        <f t="shared" ref="AD15" si="23">AC15+1</f>
        <v>2048</v>
      </c>
      <c r="AE15" s="121">
        <f t="shared" ref="AE15" si="24">AD15+1</f>
        <v>2049</v>
      </c>
      <c r="AF15" s="121">
        <f t="shared" ref="AF15" si="25">AE15+1</f>
        <v>2050</v>
      </c>
    </row>
    <row r="16" spans="2:50" ht="15" customHeight="1">
      <c r="B16" s="123" t="s">
        <v>341</v>
      </c>
      <c r="C16" s="122"/>
      <c r="D16" s="122"/>
      <c r="E16" s="122"/>
      <c r="F16" s="122"/>
      <c r="G16" s="171">
        <v>44.500000000000007</v>
      </c>
      <c r="H16" s="171">
        <v>40.949999999999996</v>
      </c>
      <c r="I16" s="171">
        <v>41.64</v>
      </c>
      <c r="J16" s="171">
        <v>34.369999999999997</v>
      </c>
      <c r="K16" s="171">
        <v>28.63</v>
      </c>
      <c r="L16" s="171">
        <v>19.05</v>
      </c>
      <c r="M16" s="171">
        <v>13.110000000000001</v>
      </c>
      <c r="N16" s="171">
        <v>8.9400000000000013</v>
      </c>
      <c r="O16" s="171">
        <v>4.2399999999999993</v>
      </c>
      <c r="P16" s="171">
        <v>1.02</v>
      </c>
      <c r="Q16" s="171">
        <v>0</v>
      </c>
      <c r="R16" s="171">
        <v>0</v>
      </c>
      <c r="S16" s="171">
        <v>0</v>
      </c>
      <c r="T16" s="171">
        <v>0</v>
      </c>
      <c r="U16" s="171">
        <v>0</v>
      </c>
      <c r="V16" s="171">
        <v>0</v>
      </c>
      <c r="W16" s="171">
        <v>0</v>
      </c>
      <c r="X16" s="171">
        <v>0</v>
      </c>
      <c r="Y16" s="171">
        <v>0</v>
      </c>
      <c r="Z16" s="171">
        <v>0</v>
      </c>
      <c r="AA16" s="171">
        <v>0</v>
      </c>
      <c r="AB16" s="171">
        <v>0</v>
      </c>
      <c r="AC16" s="171">
        <v>0</v>
      </c>
      <c r="AD16" s="171">
        <v>0</v>
      </c>
      <c r="AE16" s="171">
        <v>0</v>
      </c>
      <c r="AF16" s="171">
        <v>0</v>
      </c>
      <c r="AL16" s="40"/>
      <c r="AM16" s="40"/>
      <c r="AN16" s="40"/>
      <c r="AO16" s="40"/>
      <c r="AP16" s="40"/>
      <c r="AQ16" s="40"/>
      <c r="AR16" s="40"/>
      <c r="AS16" s="40"/>
      <c r="AT16" s="40"/>
      <c r="AU16" s="40"/>
      <c r="AV16" s="40"/>
      <c r="AW16" s="40"/>
      <c r="AX16" s="40"/>
    </row>
    <row r="17" spans="2:57" ht="15" customHeight="1">
      <c r="H17" s="55"/>
      <c r="I17" s="55"/>
      <c r="J17" s="55"/>
      <c r="K17" s="55"/>
      <c r="L17" s="55"/>
      <c r="AF17" s="40"/>
      <c r="AG17" s="40"/>
      <c r="AH17" s="40"/>
      <c r="AI17" s="40"/>
      <c r="AJ17" s="40"/>
      <c r="AK17" s="40"/>
      <c r="AL17" s="40"/>
      <c r="AM17" s="40"/>
      <c r="AN17" s="40"/>
      <c r="AO17" s="40"/>
      <c r="AP17" s="40"/>
      <c r="AQ17" s="40"/>
      <c r="AR17" s="40"/>
      <c r="AS17" s="40"/>
      <c r="AT17" s="40"/>
      <c r="AU17" s="40"/>
      <c r="AV17" s="40"/>
      <c r="AW17" s="40"/>
      <c r="AX17" s="40"/>
    </row>
    <row r="18" spans="2:57" ht="15" customHeight="1">
      <c r="B18" s="59" t="s">
        <v>343</v>
      </c>
      <c r="AL18" s="41"/>
      <c r="AM18" s="40"/>
      <c r="AN18" s="41"/>
      <c r="AO18" s="40"/>
      <c r="AP18" s="41"/>
      <c r="AQ18" s="40"/>
      <c r="AR18" s="41"/>
      <c r="AS18" s="40"/>
      <c r="AT18" s="41"/>
      <c r="AU18" s="40"/>
      <c r="AV18" s="41"/>
      <c r="AW18" s="40"/>
      <c r="AX18" s="41"/>
      <c r="AY18" s="40"/>
      <c r="AZ18" s="41"/>
      <c r="BA18" s="40"/>
      <c r="BB18" s="41"/>
      <c r="BC18" s="40"/>
      <c r="BD18" s="41"/>
      <c r="BE18" s="40"/>
    </row>
    <row r="19" spans="2:57" ht="15" customHeight="1">
      <c r="B19" s="59" t="s">
        <v>344</v>
      </c>
      <c r="AL19" s="41"/>
      <c r="AM19" s="40"/>
      <c r="AN19" s="41"/>
      <c r="AO19" s="40"/>
      <c r="AP19" s="41"/>
      <c r="AQ19" s="40"/>
      <c r="AR19" s="41"/>
      <c r="AS19" s="40"/>
      <c r="AT19" s="41"/>
      <c r="AU19" s="40"/>
      <c r="AV19" s="41"/>
      <c r="AW19" s="40"/>
      <c r="AX19" s="41"/>
      <c r="AY19" s="40"/>
      <c r="AZ19" s="41"/>
      <c r="BA19" s="40"/>
      <c r="BB19" s="41"/>
      <c r="BC19" s="40"/>
      <c r="BD19" s="41"/>
      <c r="BE19" s="40"/>
    </row>
    <row r="20" spans="2:57" ht="15" customHeight="1">
      <c r="B20" t="s">
        <v>345</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1"/>
      <c r="AC20" s="40"/>
      <c r="AD20" s="41"/>
      <c r="AE20" s="40"/>
      <c r="AF20" s="41"/>
      <c r="AG20" s="40"/>
      <c r="AH20" s="41"/>
      <c r="AI20" s="40"/>
      <c r="AJ20" s="41"/>
      <c r="AK20" s="40"/>
      <c r="AL20" s="41"/>
      <c r="AM20" s="40"/>
      <c r="AN20" s="41"/>
      <c r="AO20" s="40"/>
      <c r="AP20" s="41"/>
      <c r="AQ20" s="40"/>
      <c r="AR20" s="41"/>
      <c r="AS20" s="40"/>
      <c r="AT20" s="41"/>
      <c r="AU20" s="40"/>
      <c r="AV20" s="41"/>
      <c r="AW20" s="40"/>
      <c r="AX20" s="41"/>
      <c r="AY20" s="40"/>
      <c r="AZ20" s="41"/>
      <c r="BA20" s="40"/>
      <c r="BB20" s="41"/>
      <c r="BC20" s="40"/>
      <c r="BD20" s="41"/>
      <c r="BE20" s="40"/>
    </row>
    <row r="21" spans="2:57" ht="15" customHeight="1">
      <c r="B21" s="59" t="s">
        <v>384</v>
      </c>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1"/>
      <c r="AC21" s="40"/>
      <c r="AD21" s="41"/>
      <c r="AE21" s="40"/>
      <c r="AF21" s="41"/>
      <c r="AG21" s="40"/>
      <c r="AH21" s="41"/>
      <c r="AI21" s="40"/>
      <c r="AJ21" s="41"/>
      <c r="AK21" s="40"/>
      <c r="AL21" s="41"/>
      <c r="AM21" s="40"/>
      <c r="AN21" s="41"/>
      <c r="AO21" s="40"/>
      <c r="AP21" s="41"/>
      <c r="AQ21" s="40"/>
      <c r="AR21" s="41"/>
      <c r="AS21" s="40"/>
      <c r="AT21" s="41"/>
      <c r="AU21" s="40"/>
      <c r="AV21" s="41"/>
      <c r="AW21" s="40"/>
      <c r="AX21" s="41"/>
      <c r="AY21" s="40"/>
      <c r="AZ21" s="41"/>
      <c r="BA21" s="40"/>
      <c r="BB21" s="41"/>
      <c r="BC21" s="40"/>
      <c r="BD21" s="41"/>
      <c r="BE21" s="40"/>
    </row>
    <row r="22" spans="2:57" ht="15" customHeight="1">
      <c r="B22" t="s">
        <v>323</v>
      </c>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1"/>
      <c r="AC22" s="40"/>
      <c r="AD22" s="41"/>
      <c r="AE22" s="40"/>
      <c r="AF22" s="41"/>
      <c r="AG22" s="40"/>
      <c r="AH22" s="41"/>
      <c r="AI22" s="40"/>
      <c r="AJ22" s="41"/>
      <c r="AK22" s="40"/>
      <c r="AL22" s="41"/>
      <c r="AM22" s="40"/>
      <c r="AN22" s="41"/>
      <c r="AO22" s="40"/>
      <c r="AP22" s="41"/>
      <c r="AQ22" s="40"/>
      <c r="AR22" s="41"/>
      <c r="AS22" s="40"/>
      <c r="AT22" s="41"/>
      <c r="AU22" s="40"/>
      <c r="AV22" s="41"/>
      <c r="AW22" s="40"/>
      <c r="AX22" s="41"/>
      <c r="AY22" s="40"/>
      <c r="AZ22" s="41"/>
      <c r="BA22" s="40"/>
      <c r="BB22" s="41"/>
      <c r="BC22" s="40"/>
      <c r="BD22" s="41"/>
      <c r="BE22" s="40"/>
    </row>
    <row r="23" spans="2:57" ht="15" customHeight="1">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1"/>
      <c r="AC23" s="40"/>
      <c r="AD23" s="41"/>
      <c r="AE23" s="40"/>
      <c r="AF23" s="41"/>
      <c r="AG23" s="40"/>
      <c r="AH23" s="41"/>
      <c r="AI23" s="40"/>
      <c r="AJ23" s="41"/>
      <c r="AK23" s="40"/>
      <c r="AL23" s="41"/>
      <c r="AM23" s="40"/>
      <c r="AN23" s="41"/>
      <c r="AO23" s="40"/>
      <c r="AP23" s="41"/>
      <c r="AQ23" s="40"/>
      <c r="AR23" s="41"/>
      <c r="AS23" s="40"/>
      <c r="AT23" s="41"/>
      <c r="AU23" s="40"/>
      <c r="AV23" s="41"/>
      <c r="AW23" s="40"/>
      <c r="AX23" s="41"/>
      <c r="AY23" s="40"/>
      <c r="AZ23" s="41"/>
      <c r="BA23" s="40"/>
      <c r="BB23" s="41"/>
      <c r="BC23" s="40"/>
      <c r="BD23" s="41"/>
      <c r="BE23" s="40"/>
    </row>
    <row r="24" spans="2:57" ht="15" customHeight="1">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1"/>
      <c r="AC24" s="40"/>
      <c r="AD24" s="41"/>
      <c r="AE24" s="40"/>
      <c r="AF24" s="41"/>
      <c r="AG24" s="40"/>
      <c r="AH24" s="41"/>
      <c r="AI24" s="40"/>
      <c r="AJ24" s="41"/>
      <c r="AK24" s="40"/>
      <c r="AL24" s="41"/>
      <c r="AM24" s="40"/>
      <c r="AN24" s="41"/>
      <c r="AO24" s="40"/>
      <c r="AP24" s="41"/>
      <c r="AQ24" s="40"/>
      <c r="AR24" s="41"/>
      <c r="AS24" s="40"/>
      <c r="AT24" s="41"/>
      <c r="AU24" s="40"/>
      <c r="AV24" s="41"/>
      <c r="AW24" s="40"/>
      <c r="AX24" s="41"/>
      <c r="AY24" s="40"/>
      <c r="AZ24" s="41"/>
      <c r="BA24" s="40"/>
      <c r="BB24" s="41"/>
      <c r="BC24" s="40"/>
      <c r="BD24" s="41"/>
      <c r="BE24" s="40"/>
    </row>
    <row r="25" spans="2:57" ht="15" customHeight="1">
      <c r="B25" s="42" t="s">
        <v>149</v>
      </c>
      <c r="C25" s="42" t="s">
        <v>140</v>
      </c>
      <c r="E25" s="42"/>
      <c r="F25" s="42"/>
      <c r="G25" s="40"/>
      <c r="H25" s="40"/>
      <c r="I25" s="40"/>
      <c r="J25" s="40"/>
      <c r="K25" s="40"/>
      <c r="L25" s="40"/>
      <c r="M25" s="40"/>
      <c r="N25" s="40"/>
      <c r="O25" s="40"/>
      <c r="P25" s="40"/>
      <c r="Q25" s="40"/>
      <c r="R25" s="40"/>
      <c r="S25" s="40"/>
      <c r="T25" s="40"/>
      <c r="U25" s="40"/>
      <c r="V25" s="40"/>
      <c r="W25" s="40"/>
      <c r="X25" s="40"/>
      <c r="Y25" s="40"/>
      <c r="Z25" s="40"/>
      <c r="AA25" s="40"/>
      <c r="AB25" s="41"/>
      <c r="AC25" s="40"/>
      <c r="AD25" s="41"/>
      <c r="AE25" s="40"/>
      <c r="AF25" s="41"/>
      <c r="AG25" s="40"/>
      <c r="AH25" s="41"/>
      <c r="AI25" s="40"/>
      <c r="AJ25" s="41"/>
      <c r="AK25" s="40"/>
      <c r="AL25" s="41"/>
      <c r="AM25" s="40"/>
      <c r="AN25" s="41"/>
      <c r="AO25" s="40"/>
      <c r="AP25" s="41"/>
      <c r="AQ25" s="40"/>
      <c r="AR25" s="41"/>
      <c r="AS25" s="40"/>
      <c r="AT25" s="41"/>
      <c r="AU25" s="40"/>
      <c r="AV25" s="41"/>
      <c r="AW25" s="40"/>
      <c r="AX25" s="41"/>
      <c r="AY25" s="40"/>
      <c r="AZ25" s="41"/>
      <c r="BA25" s="40"/>
      <c r="BB25" s="41"/>
      <c r="BC25" s="40"/>
      <c r="BD25" s="41"/>
      <c r="BE25" s="40"/>
    </row>
    <row r="26" spans="2:57" ht="15" customHeight="1">
      <c r="B26" s="43"/>
      <c r="C26" s="43"/>
      <c r="D26" s="43"/>
      <c r="E26" s="43"/>
      <c r="F26" s="43"/>
      <c r="G26" s="40"/>
      <c r="H26" s="40"/>
      <c r="I26" s="40"/>
      <c r="J26" s="40"/>
      <c r="K26" s="40"/>
      <c r="L26" s="40"/>
      <c r="M26" s="40"/>
      <c r="N26" s="40"/>
      <c r="O26" s="40"/>
      <c r="P26" s="40"/>
      <c r="Q26" s="40"/>
      <c r="R26" s="40"/>
      <c r="S26" s="40"/>
      <c r="T26" s="40"/>
      <c r="U26" s="40"/>
      <c r="V26" s="40"/>
      <c r="W26" s="40"/>
      <c r="X26" s="40"/>
      <c r="Y26" s="40"/>
      <c r="Z26" s="40"/>
      <c r="AA26" s="40"/>
      <c r="AB26" s="41"/>
      <c r="AC26" s="40"/>
      <c r="AD26" s="41"/>
      <c r="AE26" s="40"/>
      <c r="AF26" s="41"/>
      <c r="AG26" s="40"/>
      <c r="AH26" s="41"/>
      <c r="AI26" s="40"/>
      <c r="AJ26" s="41"/>
      <c r="AK26" s="40"/>
      <c r="AL26" s="41"/>
      <c r="AM26" s="40"/>
      <c r="AN26" s="41"/>
      <c r="AO26" s="40"/>
      <c r="AP26" s="41"/>
      <c r="AQ26" s="40"/>
      <c r="AR26" s="41"/>
      <c r="AS26" s="40"/>
      <c r="AT26" s="41"/>
      <c r="AU26" s="40"/>
      <c r="AV26" s="41"/>
      <c r="AW26" s="40"/>
      <c r="AX26" s="41"/>
      <c r="AY26" s="40"/>
      <c r="AZ26" s="41"/>
      <c r="BA26" s="40"/>
      <c r="BB26" s="41"/>
      <c r="BC26" s="40"/>
      <c r="BD26" s="41"/>
      <c r="BE26" s="40"/>
    </row>
    <row r="27" spans="2:57" ht="15" customHeight="1">
      <c r="B27" s="43" t="s">
        <v>350</v>
      </c>
      <c r="C27" s="53" t="s">
        <v>351</v>
      </c>
    </row>
    <row r="28" spans="2:57" ht="15" customHeight="1">
      <c r="B28" s="43" t="s">
        <v>348</v>
      </c>
      <c r="C28" s="53" t="s">
        <v>347</v>
      </c>
    </row>
    <row r="29" spans="2:57" ht="15" customHeight="1">
      <c r="B29" s="43" t="s">
        <v>349</v>
      </c>
      <c r="C29" s="53" t="s">
        <v>346</v>
      </c>
    </row>
    <row r="30" spans="2:57" ht="15" customHeight="1">
      <c r="B30" t="s">
        <v>321</v>
      </c>
      <c r="C30" s="53" t="s">
        <v>150</v>
      </c>
    </row>
    <row r="31" spans="2:57" ht="15" customHeight="1">
      <c r="B31" s="42"/>
      <c r="C31" s="42"/>
    </row>
    <row r="32" spans="2:57" ht="15" customHeight="1">
      <c r="B32" s="44" t="s">
        <v>310</v>
      </c>
      <c r="C32" s="25" t="s">
        <v>311</v>
      </c>
    </row>
    <row r="33" spans="2:6" ht="15" customHeight="1">
      <c r="B33" s="43" t="s">
        <v>284</v>
      </c>
      <c r="C33" s="25" t="s">
        <v>283</v>
      </c>
    </row>
    <row r="34" spans="2:6" ht="15" customHeight="1">
      <c r="B34" s="43" t="s">
        <v>196</v>
      </c>
      <c r="C34" s="25" t="s">
        <v>197</v>
      </c>
    </row>
    <row r="35" spans="2:6" ht="15" customHeight="1">
      <c r="C35" s="25"/>
    </row>
    <row r="36" spans="2:6" ht="15" customHeight="1">
      <c r="B36" s="43" t="s">
        <v>312</v>
      </c>
      <c r="C36" s="53" t="s">
        <v>313</v>
      </c>
    </row>
    <row r="37" spans="2:6" ht="15" customHeight="1">
      <c r="B37" s="43" t="s">
        <v>194</v>
      </c>
      <c r="C37" s="53" t="s">
        <v>195</v>
      </c>
    </row>
    <row r="38" spans="2:6" ht="15" customHeight="1">
      <c r="C38" s="25"/>
    </row>
    <row r="39" spans="2:6" ht="15" customHeight="1">
      <c r="B39" s="54" t="s">
        <v>201</v>
      </c>
      <c r="C39" s="25"/>
    </row>
    <row r="40" spans="2:6" ht="15" customHeight="1">
      <c r="B40" t="s">
        <v>317</v>
      </c>
      <c r="C40" s="25" t="s">
        <v>318</v>
      </c>
    </row>
    <row r="41" spans="2:6" ht="15" customHeight="1">
      <c r="B41" s="43" t="s">
        <v>314</v>
      </c>
      <c r="C41" s="25" t="s">
        <v>315</v>
      </c>
    </row>
    <row r="42" spans="2:6" ht="15" customHeight="1">
      <c r="B42" s="43" t="s">
        <v>316</v>
      </c>
      <c r="C42" s="52" t="s">
        <v>319</v>
      </c>
      <c r="E42" s="43"/>
      <c r="F42" s="43"/>
    </row>
    <row r="43" spans="2:6" ht="15" customHeight="1">
      <c r="B43" s="43"/>
      <c r="C43" s="25"/>
    </row>
    <row r="44" spans="2:6" ht="15" customHeight="1">
      <c r="B44" s="44" t="s">
        <v>151</v>
      </c>
      <c r="C44" s="25" t="s">
        <v>152</v>
      </c>
    </row>
    <row r="45" spans="2:6" ht="15" customHeight="1">
      <c r="B45" s="44" t="s">
        <v>153</v>
      </c>
      <c r="C45" s="25" t="s">
        <v>294</v>
      </c>
    </row>
    <row r="46" spans="2:6" ht="15" customHeight="1">
      <c r="B46" s="44" t="s">
        <v>188</v>
      </c>
      <c r="C46" s="25" t="s">
        <v>293</v>
      </c>
    </row>
    <row r="47" spans="2:6" ht="15" customHeight="1">
      <c r="B47" s="44" t="s">
        <v>198</v>
      </c>
      <c r="C47" s="25" t="s">
        <v>199</v>
      </c>
    </row>
    <row r="48" spans="2:6" ht="15" customHeight="1">
      <c r="B48" s="44" t="s">
        <v>200</v>
      </c>
      <c r="C48" s="25" t="s">
        <v>154</v>
      </c>
    </row>
    <row r="49" spans="2:3" ht="15" customHeight="1">
      <c r="B49" s="44"/>
      <c r="C49" s="25"/>
    </row>
    <row r="50" spans="2:3" ht="15" customHeight="1">
      <c r="B50" t="s">
        <v>155</v>
      </c>
      <c r="C50" s="25" t="s">
        <v>189</v>
      </c>
    </row>
    <row r="51" spans="2:3" ht="15" customHeight="1">
      <c r="B51" t="s">
        <v>202</v>
      </c>
      <c r="C51" s="25" t="s">
        <v>190</v>
      </c>
    </row>
    <row r="54" spans="2:3" ht="15" customHeight="1">
      <c r="C54" s="25"/>
    </row>
  </sheetData>
  <hyperlinks>
    <hyperlink ref="C51" r:id="rId1" display="https://eur01.safelinks.protection.outlook.com/?url=https%3A%2F%2Fiea.blob.core.windows.net%2Fassets%2Fdeebef5d-0c34-4539-9d0c-10b13d840027%2FNetZeroby2050-ARoadmapfortheGlobalEnergySector_CORR.pdf&amp;data=05%7C01%7Cvon.chua%40e4tech.com%7C6c43196d55c247d8ecda08da220ab27e%7Cf2fe6bd39c4a485bae69e18820a88130%7C0%7C0%7C637859726588645422%7CUnknown%7CTWFpbGZsb3d8eyJWIjoiMC4wLjAwMDAiLCJQIjoiV2luMzIiLCJBTiI6Ik1haWwiLCJXVCI6Mn0%3D%7C3000%7C%7C%7C&amp;sdata=rpG8wo6ixFZnPOqx8GTUyk7%2BxgrmPnJFOmN9oPewMQs%3D&amp;reserved=0" xr:uid="{FDE91EE5-32FD-45E1-A964-A767B58A1364}"/>
    <hyperlink ref="C44" r:id="rId2" xr:uid="{AAB3F1DA-BA2E-436A-86A3-C4807075174D}"/>
    <hyperlink ref="C30" r:id="rId3" xr:uid="{8E47874F-75FD-4DAC-B9AA-14113F67FF3D}"/>
    <hyperlink ref="C46" r:id="rId4" xr:uid="{902A11EB-EB3C-4775-8FD9-99687ECB412E}"/>
    <hyperlink ref="C50" r:id="rId5" xr:uid="{02116EC2-CC3D-4493-81FA-CB928C6D7F4C}"/>
    <hyperlink ref="C34" r:id="rId6" xr:uid="{36AB4C64-03B2-4833-AB8E-65997256A0F6}"/>
    <hyperlink ref="C37" r:id="rId7" xr:uid="{F13AB89F-1314-41EF-B6F5-13D1E810067E}"/>
    <hyperlink ref="C32" r:id="rId8" xr:uid="{6177F851-42BA-4CD3-A505-32633DB1FE3A}"/>
  </hyperlinks>
  <pageMargins left="0.7" right="0.7" top="0.75" bottom="0.75" header="0.3" footer="0.3"/>
  <pageSetup orientation="portrait" r:id="rId9"/>
  <extLst>
    <ext xmlns:x14="http://schemas.microsoft.com/office/spreadsheetml/2009/9/main" uri="{78C0D931-6437-407d-A8EE-F0AAD7539E65}">
      <x14:conditionalFormattings>
        <x14:conditionalFormatting xmlns:xm="http://schemas.microsoft.com/office/excel/2006/main">
          <x14:cfRule type="expression" priority="4" id="{E343C74A-A7AE-4BF4-A82A-59C5469607BA}">
            <xm:f>G$15=Guidance!$D$18</xm:f>
            <x14:dxf>
              <fill>
                <patternFill>
                  <bgColor rgb="FFFFC000"/>
                </patternFill>
              </fill>
            </x14:dxf>
          </x14:cfRule>
          <xm:sqref>G4:AF8 G15:AF16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sheetPr>
  <dimension ref="B2:L18"/>
  <sheetViews>
    <sheetView showGridLines="0" zoomScale="85" zoomScaleNormal="85" workbookViewId="0"/>
  </sheetViews>
  <sheetFormatPr defaultRowHeight="15"/>
  <cols>
    <col min="1" max="1" width="6.7109375" customWidth="1"/>
    <col min="2" max="2" width="31.28515625" customWidth="1"/>
    <col min="3" max="3" width="12.42578125" customWidth="1"/>
    <col min="4" max="4" width="17.85546875" customWidth="1"/>
    <col min="5" max="5" width="21.28515625" customWidth="1"/>
    <col min="6" max="6" width="25.85546875" customWidth="1"/>
    <col min="7" max="7" width="21.28515625" customWidth="1"/>
    <col min="8" max="9" width="17.5703125" customWidth="1"/>
    <col min="10" max="10" width="20.28515625" customWidth="1"/>
    <col min="11" max="11" width="3.85546875" customWidth="1"/>
    <col min="12" max="18" width="10.7109375" customWidth="1"/>
  </cols>
  <sheetData>
    <row r="2" spans="2:12" ht="81">
      <c r="B2" s="39" t="s">
        <v>286</v>
      </c>
      <c r="C2" s="39" t="s">
        <v>287</v>
      </c>
      <c r="D2" s="39" t="s">
        <v>292</v>
      </c>
      <c r="E2" s="39" t="s">
        <v>291</v>
      </c>
      <c r="F2" s="39" t="s">
        <v>290</v>
      </c>
      <c r="G2" s="39" t="s">
        <v>289</v>
      </c>
      <c r="H2" s="39" t="s">
        <v>156</v>
      </c>
      <c r="I2" s="39" t="s">
        <v>157</v>
      </c>
      <c r="J2" s="39" t="s">
        <v>288</v>
      </c>
    </row>
    <row r="3" spans="2:12">
      <c r="B3" s="38" t="str">
        <f>IF(Guidance!D21="RCF", "RCF feedstock counterfactual", "Not used")</f>
        <v>Not used</v>
      </c>
      <c r="C3" s="38" t="str">
        <f>IF(Guidance!$D$21="RCF","Yes", "No")</f>
        <v>No</v>
      </c>
      <c r="D3" s="152" t="s">
        <v>172</v>
      </c>
      <c r="E3" s="60" t="s">
        <v>172</v>
      </c>
      <c r="F3" s="69" t="s">
        <v>172</v>
      </c>
      <c r="G3" s="69" t="str">
        <f>IF(Guidance!D21="RCF",'RCF counterfactual'!C17, "NA")</f>
        <v>NA</v>
      </c>
      <c r="H3" s="70" t="s">
        <v>172</v>
      </c>
      <c r="I3" s="70" t="str">
        <f>IF(Guidance!D21="RCF",I4,"NA")</f>
        <v>NA</v>
      </c>
      <c r="J3" s="61" t="str">
        <f>IF(C3="No", "", G3*I3)</f>
        <v/>
      </c>
    </row>
    <row r="4" spans="2:12">
      <c r="B4" s="38" t="s">
        <v>12</v>
      </c>
      <c r="C4" s="38"/>
      <c r="D4" s="70" t="str">
        <f>IF(C4="No", 100%, 'Feedstock collection'!P17)</f>
        <v/>
      </c>
      <c r="E4" s="60" t="e">
        <f>E5/D5</f>
        <v>#VALUE!</v>
      </c>
      <c r="F4" s="69">
        <f>IF(C4="No", 0, 'Feedstock collection'!W35)</f>
        <v>0</v>
      </c>
      <c r="G4" s="69" t="e">
        <f t="shared" ref="G4:G7" si="0">F4*E4</f>
        <v>#VALUE!</v>
      </c>
      <c r="H4" s="70" t="str">
        <f>IF(C4="No", 100%,'Feedstock collection'!S17)</f>
        <v/>
      </c>
      <c r="I4" s="70" t="e">
        <f t="shared" ref="I4:I7" si="1">I5*H4</f>
        <v>#VALUE!</v>
      </c>
      <c r="J4" s="61" t="e">
        <f>IF(C4="No", "", G4*I4)</f>
        <v>#VALUE!</v>
      </c>
    </row>
    <row r="5" spans="2:12">
      <c r="B5" s="38" t="s">
        <v>13</v>
      </c>
      <c r="C5" s="38"/>
      <c r="D5" s="70" t="str">
        <f>IF(C5="No", 100%, 'Feedstock transport'!P17)</f>
        <v/>
      </c>
      <c r="E5" s="60" t="e">
        <f t="shared" ref="E5:E7" si="2">E6/D6</f>
        <v>#VALUE!</v>
      </c>
      <c r="F5" s="69">
        <f>IF(C5="No", 0, 'Feedstock transport'!W35)</f>
        <v>0</v>
      </c>
      <c r="G5" s="69" t="e">
        <f t="shared" si="0"/>
        <v>#VALUE!</v>
      </c>
      <c r="H5" s="70" t="str">
        <f>IF(C5="No", 100%,'Feedstock transport'!S17)</f>
        <v/>
      </c>
      <c r="I5" s="70" t="e">
        <f t="shared" si="1"/>
        <v>#VALUE!</v>
      </c>
      <c r="J5" s="61" t="e">
        <f t="shared" ref="J5:J14" si="3">IF(C5="No", "", G5*I5)</f>
        <v>#VALUE!</v>
      </c>
    </row>
    <row r="6" spans="2:12">
      <c r="B6" s="38" t="s">
        <v>14</v>
      </c>
      <c r="C6" s="38"/>
      <c r="D6" s="70" t="str">
        <f>IF(C6="No", 100%, 'Pre-processing'!P17)</f>
        <v/>
      </c>
      <c r="E6" s="60" t="e">
        <f t="shared" si="2"/>
        <v>#VALUE!</v>
      </c>
      <c r="F6" s="69">
        <f>IF(C6="No", 0, 'Pre-processing'!W40)</f>
        <v>0</v>
      </c>
      <c r="G6" s="69" t="e">
        <f t="shared" si="0"/>
        <v>#VALUE!</v>
      </c>
      <c r="H6" s="70" t="str">
        <f>IF(C6="No", 100%,'Pre-processing'!S17)</f>
        <v/>
      </c>
      <c r="I6" s="70" t="e">
        <f t="shared" si="1"/>
        <v>#VALUE!</v>
      </c>
      <c r="J6" s="61" t="e">
        <f t="shared" si="3"/>
        <v>#VALUE!</v>
      </c>
    </row>
    <row r="7" spans="2:12">
      <c r="B7" s="38" t="s">
        <v>15</v>
      </c>
      <c r="C7" s="38"/>
      <c r="D7" s="70" t="str">
        <f>IF(C7="No", 100%, 'Intermediate transport'!P17)</f>
        <v/>
      </c>
      <c r="E7" s="60" t="e">
        <f t="shared" si="2"/>
        <v>#VALUE!</v>
      </c>
      <c r="F7" s="69">
        <f>IF(C7="No", 0, 'Intermediate transport'!W35)</f>
        <v>0</v>
      </c>
      <c r="G7" s="69" t="e">
        <f t="shared" si="0"/>
        <v>#VALUE!</v>
      </c>
      <c r="H7" s="70" t="str">
        <f>IF(C7="No", 100%,'Intermediate transport'!S17)</f>
        <v/>
      </c>
      <c r="I7" s="70" t="e">
        <f t="shared" si="1"/>
        <v>#VALUE!</v>
      </c>
      <c r="J7" s="61" t="e">
        <f t="shared" si="3"/>
        <v>#VALUE!</v>
      </c>
    </row>
    <row r="8" spans="2:12">
      <c r="B8" s="38" t="s">
        <v>16</v>
      </c>
      <c r="C8" s="38" t="s">
        <v>169</v>
      </c>
      <c r="D8" s="70" t="str">
        <f>IF(C8="No", 100%, Conversion!P17)</f>
        <v/>
      </c>
      <c r="E8" s="60" t="e">
        <f t="shared" ref="E8:E13" si="4">E9/D9</f>
        <v>#VALUE!</v>
      </c>
      <c r="F8" s="69">
        <f>IF(C8="No", 0, Conversion!W40)</f>
        <v>0</v>
      </c>
      <c r="G8" s="69" t="e">
        <f>F8*E8</f>
        <v>#VALUE!</v>
      </c>
      <c r="H8" s="70" t="str">
        <f>IF(C8="No", 100%,Conversion!S17)</f>
        <v/>
      </c>
      <c r="I8" s="70" t="e">
        <f t="shared" ref="I8:I13" si="5">I9*H8</f>
        <v>#VALUE!</v>
      </c>
      <c r="J8" s="61" t="e">
        <f t="shared" si="3"/>
        <v>#VALUE!</v>
      </c>
    </row>
    <row r="9" spans="2:12">
      <c r="B9" s="38" t="s">
        <v>17</v>
      </c>
      <c r="C9" s="38"/>
      <c r="D9" s="70" t="str">
        <f>IF(C9="No", 100%, 'Further transport'!P17)</f>
        <v/>
      </c>
      <c r="E9" s="60" t="e">
        <f t="shared" si="4"/>
        <v>#VALUE!</v>
      </c>
      <c r="F9" s="69">
        <f>IF(C9="No", 0, 'Further transport'!W35)</f>
        <v>0</v>
      </c>
      <c r="G9" s="69" t="e">
        <f t="shared" ref="G9:G14" si="6">F9*E9</f>
        <v>#VALUE!</v>
      </c>
      <c r="H9" s="70" t="str">
        <f>IF(C9="No", 100%,'Further transport'!S17)</f>
        <v/>
      </c>
      <c r="I9" s="70" t="e">
        <f t="shared" si="5"/>
        <v>#VALUE!</v>
      </c>
      <c r="J9" s="61" t="e">
        <f t="shared" si="3"/>
        <v>#VALUE!</v>
      </c>
    </row>
    <row r="10" spans="2:12">
      <c r="B10" s="38" t="s">
        <v>309</v>
      </c>
      <c r="C10" s="38"/>
      <c r="D10" s="70" t="str">
        <f>IF(C10="No", 100%, 'Upgrading to fuel'!P17)</f>
        <v/>
      </c>
      <c r="E10" s="60" t="e">
        <f t="shared" si="4"/>
        <v>#VALUE!</v>
      </c>
      <c r="F10" s="69">
        <f>IF(C10="No", 0, 'Upgrading to fuel'!W40)</f>
        <v>0</v>
      </c>
      <c r="G10" s="69" t="e">
        <f t="shared" si="6"/>
        <v>#VALUE!</v>
      </c>
      <c r="H10" s="70" t="str">
        <f>IF(C10="No", 100%,'Upgrading to fuel'!S17)</f>
        <v/>
      </c>
      <c r="I10" s="70" t="e">
        <f t="shared" si="5"/>
        <v>#VALUE!</v>
      </c>
      <c r="J10" s="61" t="e">
        <f t="shared" si="3"/>
        <v>#VALUE!</v>
      </c>
    </row>
    <row r="11" spans="2:12">
      <c r="B11" s="38" t="s">
        <v>18</v>
      </c>
      <c r="C11" s="38"/>
      <c r="D11" s="70" t="str">
        <f>IF(C11="No", 100%, 'Fuel distribution 1'!P17)</f>
        <v/>
      </c>
      <c r="E11" s="60" t="e">
        <f t="shared" si="4"/>
        <v>#VALUE!</v>
      </c>
      <c r="F11" s="69">
        <f>IF(C11="No", 0, 'Fuel distribution 1'!W35)</f>
        <v>0</v>
      </c>
      <c r="G11" s="69" t="e">
        <f t="shared" si="6"/>
        <v>#VALUE!</v>
      </c>
      <c r="H11" s="70" t="str">
        <f>IF(C11="No", 100%,'Fuel distribution 1'!S17)</f>
        <v/>
      </c>
      <c r="I11" s="70" t="e">
        <f t="shared" si="5"/>
        <v>#VALUE!</v>
      </c>
      <c r="J11" s="61" t="e">
        <f t="shared" si="3"/>
        <v>#VALUE!</v>
      </c>
    </row>
    <row r="12" spans="2:12">
      <c r="B12" s="38" t="s">
        <v>19</v>
      </c>
      <c r="C12" s="38"/>
      <c r="D12" s="70" t="str">
        <f>IF(C12="No", 100%, 'Fuel storage'!P17)</f>
        <v/>
      </c>
      <c r="E12" s="60" t="e">
        <f t="shared" si="4"/>
        <v>#VALUE!</v>
      </c>
      <c r="F12" s="69">
        <f>IF(C12="No", 0, 'Fuel storage'!W35)</f>
        <v>0</v>
      </c>
      <c r="G12" s="69" t="e">
        <f t="shared" si="6"/>
        <v>#VALUE!</v>
      </c>
      <c r="H12" s="70" t="str">
        <f>IF(C12="No", 100%,'Fuel storage'!S17)</f>
        <v/>
      </c>
      <c r="I12" s="70" t="e">
        <f t="shared" si="5"/>
        <v>#VALUE!</v>
      </c>
      <c r="J12" s="61" t="e">
        <f t="shared" si="3"/>
        <v>#VALUE!</v>
      </c>
    </row>
    <row r="13" spans="2:12">
      <c r="B13" s="38" t="s">
        <v>20</v>
      </c>
      <c r="C13" s="38"/>
      <c r="D13" s="70" t="str">
        <f>IF(C13="No", 100%, 'Fuel distribution 2'!P17)</f>
        <v/>
      </c>
      <c r="E13" s="60" t="e">
        <f t="shared" si="4"/>
        <v>#VALUE!</v>
      </c>
      <c r="F13" s="69">
        <f>IF(C13="No", 0, 'Fuel distribution 2'!W35)</f>
        <v>0</v>
      </c>
      <c r="G13" s="69" t="e">
        <f t="shared" si="6"/>
        <v>#VALUE!</v>
      </c>
      <c r="H13" s="70" t="str">
        <f>IF(C13="No", 100%,'Fuel distribution 2'!S17)</f>
        <v/>
      </c>
      <c r="I13" s="70" t="e">
        <f t="shared" si="5"/>
        <v>#VALUE!</v>
      </c>
      <c r="J13" s="61" t="e">
        <f t="shared" si="3"/>
        <v>#VALUE!</v>
      </c>
    </row>
    <row r="14" spans="2:12" ht="15.75" thickBot="1">
      <c r="B14" s="48" t="s">
        <v>204</v>
      </c>
      <c r="C14" s="48" t="s">
        <v>169</v>
      </c>
      <c r="D14" s="70" t="str">
        <f>IF(C14="No", 100%, Refuelling!P17)</f>
        <v/>
      </c>
      <c r="E14" s="60">
        <v>1</v>
      </c>
      <c r="F14" s="69">
        <f>IF(C14="No", 0, Refuelling!W35)</f>
        <v>0</v>
      </c>
      <c r="G14" s="69">
        <f t="shared" si="6"/>
        <v>0</v>
      </c>
      <c r="H14" s="70" t="str">
        <f>IF(C14="No", 100%,Refuelling!S17)</f>
        <v/>
      </c>
      <c r="I14" s="70" t="str">
        <f>H14</f>
        <v/>
      </c>
      <c r="J14" s="61" t="e">
        <f t="shared" si="3"/>
        <v>#VALUE!</v>
      </c>
    </row>
    <row r="15" spans="2:12" ht="15.75" thickBot="1">
      <c r="B15" s="68" t="s">
        <v>158</v>
      </c>
      <c r="D15" s="28">
        <f>PRODUCT(D4:D14)</f>
        <v>0</v>
      </c>
      <c r="E15" s="24"/>
      <c r="F15" s="24"/>
      <c r="G15" s="24"/>
      <c r="J15" s="74" t="e">
        <f>SUM(J3:J14)</f>
        <v>#VALUE!</v>
      </c>
    </row>
    <row r="16" spans="2:12" ht="18">
      <c r="B16" s="68" t="s">
        <v>206</v>
      </c>
      <c r="C16" s="151"/>
      <c r="J16" s="73">
        <f>IF(Guidance!D21&lt;&gt;"RCF", 31, INDEX(Assumptions!$F$8:$T$8, 1, MATCH(Guidance!$D$18, Assumptions!$F$4:$T$4, FALSE)))</f>
        <v>31</v>
      </c>
      <c r="L16" t="s">
        <v>232</v>
      </c>
    </row>
    <row r="18" spans="2:2">
      <c r="B18" t="s">
        <v>282</v>
      </c>
    </row>
  </sheetData>
  <conditionalFormatting sqref="J16">
    <cfRule type="expression" dxfId="0" priority="1">
      <formula>$J$15&gt;$J$16</formula>
    </cfRule>
  </conditionalFormatting>
  <dataValidations count="1">
    <dataValidation type="list" allowBlank="1" showInputMessage="1" showErrorMessage="1" sqref="C4:C14" xr:uid="{DF28A3BA-9BB5-43DD-8C99-E8178B964A9C}">
      <formula1>"Yes, No"</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B2:S33"/>
  <sheetViews>
    <sheetView showGridLines="0" zoomScale="85" zoomScaleNormal="85" workbookViewId="0"/>
  </sheetViews>
  <sheetFormatPr defaultColWidth="9.28515625" defaultRowHeight="15"/>
  <cols>
    <col min="1" max="1" width="6.7109375" style="1" customWidth="1"/>
    <col min="2" max="16384" width="9.28515625" style="1"/>
  </cols>
  <sheetData>
    <row r="2" spans="2:19">
      <c r="B2" s="137" t="s">
        <v>203</v>
      </c>
    </row>
    <row r="4" spans="2:19">
      <c r="B4" s="71"/>
      <c r="C4" s="71"/>
      <c r="D4" s="71"/>
      <c r="E4" s="71"/>
      <c r="F4" s="71"/>
      <c r="G4" s="71"/>
      <c r="H4" s="71"/>
      <c r="I4" s="71"/>
      <c r="J4" s="71"/>
      <c r="K4" s="71"/>
      <c r="L4" s="71"/>
      <c r="M4" s="71"/>
      <c r="N4" s="71"/>
      <c r="O4" s="71"/>
      <c r="P4" s="71"/>
      <c r="Q4" s="71"/>
      <c r="R4" s="71"/>
      <c r="S4" s="71"/>
    </row>
    <row r="5" spans="2:19">
      <c r="B5" s="71"/>
      <c r="C5" s="71"/>
      <c r="D5" s="71"/>
      <c r="E5" s="71"/>
      <c r="F5" s="71"/>
      <c r="G5" s="71"/>
      <c r="H5" s="71"/>
      <c r="I5" s="71"/>
      <c r="J5" s="71"/>
      <c r="K5" s="71"/>
      <c r="L5" s="71"/>
      <c r="M5" s="71"/>
      <c r="N5" s="71"/>
      <c r="O5" s="71"/>
      <c r="P5" s="71"/>
      <c r="Q5" s="71"/>
      <c r="R5" s="71"/>
      <c r="S5" s="71"/>
    </row>
    <row r="6" spans="2:19">
      <c r="B6" s="71"/>
      <c r="C6" s="71"/>
      <c r="D6" s="71"/>
      <c r="E6" s="71"/>
      <c r="F6" s="71"/>
      <c r="G6" s="71"/>
      <c r="H6" s="71"/>
      <c r="I6" s="71"/>
      <c r="J6" s="71"/>
      <c r="K6" s="71"/>
      <c r="L6" s="71"/>
      <c r="M6" s="71"/>
      <c r="N6" s="71"/>
      <c r="O6" s="71"/>
      <c r="P6" s="71"/>
      <c r="Q6" s="71"/>
      <c r="R6" s="71"/>
      <c r="S6" s="71"/>
    </row>
    <row r="7" spans="2:19">
      <c r="B7" s="71"/>
      <c r="C7" s="71"/>
      <c r="D7" s="71"/>
      <c r="E7" s="71"/>
      <c r="F7" s="71"/>
      <c r="G7" s="71"/>
      <c r="H7" s="71"/>
      <c r="I7" s="71"/>
      <c r="J7" s="71"/>
      <c r="K7" s="71"/>
      <c r="L7" s="71"/>
      <c r="M7" s="71"/>
      <c r="N7" s="71"/>
      <c r="O7" s="71"/>
      <c r="P7" s="71"/>
      <c r="Q7" s="71"/>
      <c r="R7" s="71"/>
      <c r="S7" s="71"/>
    </row>
    <row r="8" spans="2:19">
      <c r="B8" s="71"/>
      <c r="C8" s="71"/>
      <c r="D8" s="71"/>
      <c r="E8" s="71"/>
      <c r="F8" s="71"/>
      <c r="G8" s="71"/>
      <c r="H8" s="71"/>
      <c r="I8" s="71"/>
      <c r="J8" s="71"/>
      <c r="K8" s="71"/>
      <c r="L8" s="71"/>
      <c r="M8" s="71"/>
      <c r="N8" s="71"/>
      <c r="O8" s="71"/>
      <c r="P8" s="71"/>
      <c r="Q8" s="71"/>
      <c r="R8" s="71"/>
      <c r="S8" s="71"/>
    </row>
    <row r="9" spans="2:19">
      <c r="B9" s="71"/>
      <c r="C9" s="71"/>
      <c r="D9" s="71"/>
      <c r="E9" s="71"/>
      <c r="F9" s="71"/>
      <c r="G9" s="71"/>
      <c r="H9" s="71"/>
      <c r="I9" s="71"/>
      <c r="J9" s="71"/>
      <c r="K9" s="71"/>
      <c r="L9" s="71"/>
      <c r="M9" s="71"/>
      <c r="N9" s="71"/>
      <c r="O9" s="71"/>
      <c r="P9" s="71"/>
      <c r="Q9" s="71"/>
      <c r="R9" s="71"/>
      <c r="S9" s="71"/>
    </row>
    <row r="10" spans="2:19">
      <c r="B10" s="71"/>
      <c r="C10" s="71"/>
      <c r="D10" s="71"/>
      <c r="E10" s="71"/>
      <c r="F10" s="71"/>
      <c r="G10" s="71"/>
      <c r="H10" s="71"/>
      <c r="I10" s="71"/>
      <c r="J10" s="71"/>
      <c r="K10" s="71"/>
      <c r="L10" s="71"/>
      <c r="M10" s="71"/>
      <c r="N10" s="71"/>
      <c r="O10" s="71"/>
      <c r="P10" s="71"/>
      <c r="Q10" s="71"/>
      <c r="R10" s="71"/>
      <c r="S10" s="71"/>
    </row>
    <row r="11" spans="2:19">
      <c r="B11" s="71"/>
      <c r="C11" s="71"/>
      <c r="D11" s="71"/>
      <c r="E11" s="71"/>
      <c r="F11" s="71"/>
      <c r="G11" s="71"/>
      <c r="H11" s="71"/>
      <c r="I11" s="71"/>
      <c r="J11" s="71"/>
      <c r="K11" s="71"/>
      <c r="L11" s="71"/>
      <c r="M11" s="71"/>
      <c r="N11" s="71"/>
      <c r="O11" s="71"/>
      <c r="P11" s="71"/>
      <c r="Q11" s="71"/>
      <c r="R11" s="71"/>
      <c r="S11" s="71"/>
    </row>
    <row r="12" spans="2:19">
      <c r="B12" s="71"/>
      <c r="C12" s="71"/>
      <c r="D12" s="71"/>
      <c r="E12" s="71"/>
      <c r="F12" s="71"/>
      <c r="G12" s="71"/>
      <c r="H12" s="71"/>
      <c r="I12" s="71"/>
      <c r="J12" s="71"/>
      <c r="K12" s="71"/>
      <c r="L12" s="71"/>
      <c r="M12" s="71"/>
      <c r="N12" s="71"/>
      <c r="O12" s="71"/>
      <c r="P12" s="71"/>
      <c r="Q12" s="71"/>
      <c r="R12" s="71"/>
      <c r="S12" s="71"/>
    </row>
    <row r="13" spans="2:19">
      <c r="B13" s="71"/>
      <c r="C13" s="71"/>
      <c r="D13" s="71"/>
      <c r="E13" s="71"/>
      <c r="F13" s="71"/>
      <c r="G13" s="71"/>
      <c r="H13" s="71"/>
      <c r="I13" s="71"/>
      <c r="J13" s="71"/>
      <c r="K13" s="71"/>
      <c r="L13" s="71"/>
      <c r="M13" s="71"/>
      <c r="N13" s="71"/>
      <c r="O13" s="71"/>
      <c r="P13" s="71"/>
      <c r="Q13" s="71"/>
      <c r="R13" s="71"/>
      <c r="S13" s="71"/>
    </row>
    <row r="14" spans="2:19">
      <c r="B14" s="71"/>
      <c r="C14" s="71"/>
      <c r="D14" s="71"/>
      <c r="E14" s="71"/>
      <c r="F14" s="71"/>
      <c r="G14" s="71"/>
      <c r="H14" s="71"/>
      <c r="I14" s="71"/>
      <c r="J14" s="71"/>
      <c r="K14" s="71"/>
      <c r="L14" s="71"/>
      <c r="M14" s="71"/>
      <c r="N14" s="71"/>
      <c r="O14" s="71"/>
      <c r="P14" s="71"/>
      <c r="Q14" s="71"/>
      <c r="R14" s="71"/>
      <c r="S14" s="71"/>
    </row>
    <row r="15" spans="2:19">
      <c r="B15" s="71"/>
      <c r="C15" s="71"/>
      <c r="D15" s="71"/>
      <c r="E15" s="71"/>
      <c r="F15" s="71"/>
      <c r="G15" s="71"/>
      <c r="H15" s="71"/>
      <c r="I15" s="71"/>
      <c r="J15" s="71"/>
      <c r="K15" s="71"/>
      <c r="L15" s="71"/>
      <c r="M15" s="71"/>
      <c r="N15" s="71"/>
      <c r="O15" s="71"/>
      <c r="P15" s="71"/>
      <c r="Q15" s="71"/>
      <c r="R15" s="71"/>
      <c r="S15" s="71"/>
    </row>
    <row r="16" spans="2:19">
      <c r="B16" s="71"/>
      <c r="C16" s="71"/>
      <c r="D16" s="71"/>
      <c r="E16" s="71"/>
      <c r="F16" s="71"/>
      <c r="G16" s="71"/>
      <c r="H16" s="71"/>
      <c r="I16" s="71"/>
      <c r="J16" s="71"/>
      <c r="K16" s="71"/>
      <c r="L16" s="71"/>
      <c r="M16" s="71"/>
      <c r="N16" s="71"/>
      <c r="O16" s="71"/>
      <c r="P16" s="71"/>
      <c r="Q16" s="71"/>
      <c r="R16" s="71"/>
      <c r="S16" s="71"/>
    </row>
    <row r="17" spans="2:19">
      <c r="B17" s="71"/>
      <c r="C17" s="71"/>
      <c r="D17" s="71"/>
      <c r="E17" s="71"/>
      <c r="F17" s="71"/>
      <c r="G17" s="71"/>
      <c r="H17" s="71"/>
      <c r="I17" s="71"/>
      <c r="J17" s="71"/>
      <c r="K17" s="71"/>
      <c r="L17" s="71"/>
      <c r="M17" s="71"/>
      <c r="N17" s="71"/>
      <c r="O17" s="71"/>
      <c r="P17" s="71"/>
      <c r="Q17" s="71"/>
      <c r="R17" s="71"/>
      <c r="S17" s="71"/>
    </row>
    <row r="18" spans="2:19">
      <c r="B18" s="71"/>
      <c r="C18" s="71"/>
      <c r="D18" s="71"/>
      <c r="E18" s="71"/>
      <c r="F18" s="71"/>
      <c r="G18" s="71"/>
      <c r="H18" s="71"/>
      <c r="I18" s="71"/>
      <c r="J18" s="71"/>
      <c r="K18" s="71"/>
      <c r="L18" s="71"/>
      <c r="M18" s="71"/>
      <c r="N18" s="71"/>
      <c r="O18" s="71"/>
      <c r="P18" s="71"/>
      <c r="Q18" s="71"/>
      <c r="R18" s="71"/>
      <c r="S18" s="71"/>
    </row>
    <row r="19" spans="2:19">
      <c r="B19" s="71"/>
      <c r="C19" s="71"/>
      <c r="D19" s="71"/>
      <c r="E19" s="71"/>
      <c r="F19" s="71"/>
      <c r="G19" s="71"/>
      <c r="H19" s="71"/>
      <c r="I19" s="71"/>
      <c r="J19" s="71"/>
      <c r="K19" s="71"/>
      <c r="L19" s="71"/>
      <c r="M19" s="71"/>
      <c r="N19" s="71"/>
      <c r="O19" s="71"/>
      <c r="P19" s="71"/>
      <c r="Q19" s="71"/>
      <c r="R19" s="71"/>
      <c r="S19" s="71"/>
    </row>
    <row r="20" spans="2:19">
      <c r="B20" s="71"/>
      <c r="C20" s="71"/>
      <c r="D20" s="71"/>
      <c r="E20" s="71"/>
      <c r="F20" s="71"/>
      <c r="G20" s="71"/>
      <c r="H20" s="71"/>
      <c r="I20" s="71"/>
      <c r="J20" s="71"/>
      <c r="K20" s="71"/>
      <c r="L20" s="71"/>
      <c r="M20" s="71"/>
      <c r="N20" s="71"/>
      <c r="O20" s="71"/>
      <c r="P20" s="71"/>
      <c r="Q20" s="71"/>
      <c r="R20" s="71"/>
      <c r="S20" s="71"/>
    </row>
    <row r="21" spans="2:19">
      <c r="B21" s="71"/>
      <c r="C21" s="71"/>
      <c r="D21" s="71"/>
      <c r="E21" s="71"/>
      <c r="F21" s="71"/>
      <c r="G21" s="71"/>
      <c r="H21" s="71"/>
      <c r="I21" s="71"/>
      <c r="J21" s="71"/>
      <c r="K21" s="71"/>
      <c r="L21" s="71"/>
      <c r="M21" s="71"/>
      <c r="N21" s="71"/>
      <c r="O21" s="71"/>
      <c r="P21" s="71"/>
      <c r="Q21" s="71"/>
      <c r="R21" s="71"/>
      <c r="S21" s="71"/>
    </row>
    <row r="22" spans="2:19">
      <c r="B22" s="71"/>
      <c r="C22" s="71"/>
      <c r="D22" s="71"/>
      <c r="E22" s="71"/>
      <c r="F22" s="71"/>
      <c r="G22" s="71"/>
      <c r="H22" s="71"/>
      <c r="I22" s="71"/>
      <c r="J22" s="71"/>
      <c r="K22" s="71"/>
      <c r="L22" s="71"/>
      <c r="M22" s="71"/>
      <c r="N22" s="71"/>
      <c r="O22" s="71"/>
      <c r="P22" s="71"/>
      <c r="Q22" s="71"/>
      <c r="R22" s="71"/>
      <c r="S22" s="71"/>
    </row>
    <row r="23" spans="2:19">
      <c r="B23" s="71"/>
      <c r="C23" s="71"/>
      <c r="D23" s="71"/>
      <c r="E23" s="71"/>
      <c r="F23" s="71"/>
      <c r="G23" s="71"/>
      <c r="H23" s="71"/>
      <c r="I23" s="71"/>
      <c r="J23" s="71"/>
      <c r="K23" s="71"/>
      <c r="L23" s="71"/>
      <c r="M23" s="71"/>
      <c r="N23" s="71"/>
      <c r="O23" s="71"/>
      <c r="P23" s="71"/>
      <c r="Q23" s="71"/>
      <c r="R23" s="71"/>
      <c r="S23" s="71"/>
    </row>
    <row r="24" spans="2:19">
      <c r="B24" s="71"/>
      <c r="C24" s="71"/>
      <c r="D24" s="71"/>
      <c r="E24" s="71"/>
      <c r="F24" s="71"/>
      <c r="G24" s="71"/>
      <c r="H24" s="71"/>
      <c r="I24" s="71"/>
      <c r="J24" s="71"/>
      <c r="K24" s="71"/>
      <c r="L24" s="71"/>
      <c r="M24" s="71"/>
      <c r="N24" s="71"/>
      <c r="O24" s="71"/>
      <c r="P24" s="71"/>
      <c r="Q24" s="71"/>
      <c r="R24" s="71"/>
      <c r="S24" s="71"/>
    </row>
    <row r="25" spans="2:19">
      <c r="B25" s="71"/>
      <c r="C25" s="71"/>
      <c r="D25" s="71"/>
      <c r="E25" s="71"/>
      <c r="F25" s="71"/>
      <c r="G25" s="71"/>
      <c r="H25" s="71"/>
      <c r="I25" s="71"/>
      <c r="J25" s="71"/>
      <c r="K25" s="71"/>
      <c r="L25" s="71"/>
      <c r="M25" s="71"/>
      <c r="N25" s="71"/>
      <c r="O25" s="71"/>
      <c r="P25" s="71"/>
      <c r="Q25" s="71"/>
      <c r="R25" s="71"/>
      <c r="S25" s="71"/>
    </row>
    <row r="26" spans="2:19">
      <c r="B26" s="71"/>
      <c r="C26" s="71"/>
      <c r="D26" s="71"/>
      <c r="E26" s="71"/>
      <c r="F26" s="71"/>
      <c r="G26" s="71"/>
      <c r="H26" s="71"/>
      <c r="I26" s="71"/>
      <c r="J26" s="71"/>
      <c r="K26" s="71"/>
      <c r="L26" s="71"/>
      <c r="M26" s="71"/>
      <c r="N26" s="71"/>
      <c r="O26" s="71"/>
      <c r="P26" s="71"/>
      <c r="Q26" s="71"/>
      <c r="R26" s="71"/>
      <c r="S26" s="71"/>
    </row>
    <row r="27" spans="2:19">
      <c r="B27" s="71"/>
      <c r="C27" s="71"/>
      <c r="D27" s="71"/>
      <c r="E27" s="71"/>
      <c r="F27" s="71"/>
      <c r="G27" s="71"/>
      <c r="H27" s="71"/>
      <c r="I27" s="71"/>
      <c r="J27" s="71"/>
      <c r="K27" s="71"/>
      <c r="L27" s="71"/>
      <c r="M27" s="71"/>
      <c r="N27" s="71"/>
      <c r="O27" s="71"/>
      <c r="P27" s="71"/>
      <c r="Q27" s="71"/>
      <c r="R27" s="71"/>
      <c r="S27" s="71"/>
    </row>
    <row r="28" spans="2:19">
      <c r="B28" s="71"/>
      <c r="C28" s="71"/>
      <c r="D28" s="71"/>
      <c r="E28" s="71"/>
      <c r="F28" s="71"/>
      <c r="G28" s="71"/>
      <c r="H28" s="71"/>
      <c r="I28" s="71"/>
      <c r="J28" s="71"/>
      <c r="K28" s="71"/>
      <c r="L28" s="71"/>
      <c r="M28" s="71"/>
      <c r="N28" s="71"/>
      <c r="O28" s="71"/>
      <c r="P28" s="71"/>
      <c r="Q28" s="71"/>
      <c r="R28" s="71"/>
      <c r="S28" s="71"/>
    </row>
    <row r="29" spans="2:19">
      <c r="B29" s="71"/>
      <c r="C29" s="71"/>
      <c r="D29" s="71"/>
      <c r="E29" s="71"/>
      <c r="F29" s="71"/>
      <c r="G29" s="71"/>
      <c r="H29" s="71"/>
      <c r="I29" s="71"/>
      <c r="J29" s="71"/>
      <c r="K29" s="71"/>
      <c r="L29" s="71"/>
      <c r="M29" s="71"/>
      <c r="N29" s="71"/>
      <c r="O29" s="71"/>
      <c r="P29" s="71"/>
      <c r="Q29" s="71"/>
      <c r="R29" s="71"/>
      <c r="S29" s="71"/>
    </row>
    <row r="30" spans="2:19">
      <c r="B30" s="71"/>
      <c r="C30" s="71"/>
      <c r="D30" s="71"/>
      <c r="E30" s="71"/>
      <c r="F30" s="71"/>
      <c r="G30" s="71"/>
      <c r="H30" s="71"/>
      <c r="I30" s="71"/>
      <c r="J30" s="71"/>
      <c r="K30" s="71"/>
      <c r="L30" s="71"/>
      <c r="M30" s="71"/>
      <c r="N30" s="71"/>
      <c r="O30" s="71"/>
      <c r="P30" s="71"/>
      <c r="Q30" s="71"/>
      <c r="R30" s="71"/>
      <c r="S30" s="71"/>
    </row>
    <row r="31" spans="2:19">
      <c r="B31" s="71"/>
      <c r="C31" s="71"/>
      <c r="D31" s="71"/>
      <c r="E31" s="71"/>
      <c r="F31" s="71"/>
      <c r="G31" s="71"/>
      <c r="H31" s="71"/>
      <c r="I31" s="71"/>
      <c r="J31" s="71"/>
      <c r="K31" s="71"/>
      <c r="L31" s="71"/>
      <c r="M31" s="71"/>
      <c r="N31" s="71"/>
      <c r="O31" s="71"/>
      <c r="P31" s="71"/>
      <c r="Q31" s="71"/>
      <c r="R31" s="71"/>
      <c r="S31" s="71"/>
    </row>
    <row r="32" spans="2:19">
      <c r="B32" s="71"/>
      <c r="C32" s="71"/>
      <c r="D32" s="71"/>
      <c r="E32" s="71"/>
      <c r="F32" s="71"/>
      <c r="G32" s="71"/>
      <c r="H32" s="71"/>
      <c r="I32" s="71"/>
      <c r="J32" s="71"/>
      <c r="K32" s="71"/>
      <c r="L32" s="71"/>
      <c r="M32" s="71"/>
      <c r="N32" s="71"/>
      <c r="O32" s="71"/>
      <c r="P32" s="71"/>
      <c r="Q32" s="71"/>
      <c r="R32" s="71"/>
      <c r="S32" s="71"/>
    </row>
    <row r="33" spans="2:19">
      <c r="B33" s="71"/>
      <c r="C33" s="71"/>
      <c r="D33" s="71"/>
      <c r="E33" s="71"/>
      <c r="F33" s="71"/>
      <c r="G33" s="71"/>
      <c r="H33" s="71"/>
      <c r="I33" s="71"/>
      <c r="J33" s="71"/>
      <c r="K33" s="71"/>
      <c r="L33" s="71"/>
      <c r="M33" s="71"/>
      <c r="N33" s="71"/>
      <c r="O33" s="71"/>
      <c r="P33" s="71"/>
      <c r="Q33" s="71"/>
      <c r="R33" s="71"/>
      <c r="S33" s="71"/>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8154A-FBD2-452C-B907-19D8DCEAC52E}">
  <sheetPr>
    <tabColor theme="9" tint="0.79998168889431442"/>
  </sheetPr>
  <dimension ref="B2:B36"/>
  <sheetViews>
    <sheetView showGridLines="0" zoomScale="85" zoomScaleNormal="85" workbookViewId="0"/>
  </sheetViews>
  <sheetFormatPr defaultRowHeight="15"/>
  <cols>
    <col min="1" max="1" width="6.7109375" customWidth="1"/>
    <col min="2" max="2" width="39.140625" customWidth="1"/>
  </cols>
  <sheetData>
    <row r="2" spans="2:2">
      <c r="B2" s="24" t="s">
        <v>220</v>
      </c>
    </row>
    <row r="3" spans="2:2">
      <c r="B3" s="124"/>
    </row>
    <row r="4" spans="2:2">
      <c r="B4" s="124"/>
    </row>
    <row r="6" spans="2:2">
      <c r="B6" s="24" t="s">
        <v>221</v>
      </c>
    </row>
    <row r="7" spans="2:2">
      <c r="B7" s="125"/>
    </row>
    <row r="8" spans="2:2">
      <c r="B8" s="125"/>
    </row>
    <row r="9" spans="2:2">
      <c r="B9" s="24"/>
    </row>
    <row r="10" spans="2:2">
      <c r="B10" s="24" t="s">
        <v>219</v>
      </c>
    </row>
    <row r="11" spans="2:2">
      <c r="B11" s="124"/>
    </row>
    <row r="12" spans="2:2">
      <c r="B12" s="124"/>
    </row>
    <row r="14" spans="2:2">
      <c r="B14" s="24" t="s">
        <v>222</v>
      </c>
    </row>
    <row r="15" spans="2:2">
      <c r="B15" s="124"/>
    </row>
    <row r="16" spans="2:2">
      <c r="B16" s="124"/>
    </row>
    <row r="18" spans="2:2">
      <c r="B18" s="24" t="s">
        <v>303</v>
      </c>
    </row>
    <row r="19" spans="2:2">
      <c r="B19" s="124"/>
    </row>
    <row r="20" spans="2:2">
      <c r="B20" s="124"/>
    </row>
    <row r="22" spans="2:2">
      <c r="B22" s="24" t="s">
        <v>304</v>
      </c>
    </row>
    <row r="23" spans="2:2">
      <c r="B23" s="124"/>
    </row>
    <row r="24" spans="2:2">
      <c r="B24" s="124"/>
    </row>
    <row r="26" spans="2:2">
      <c r="B26" s="24" t="s">
        <v>325</v>
      </c>
    </row>
    <row r="27" spans="2:2">
      <c r="B27" s="124"/>
    </row>
    <row r="28" spans="2:2">
      <c r="B28" s="124"/>
    </row>
    <row r="30" spans="2:2">
      <c r="B30" s="24" t="s">
        <v>324</v>
      </c>
    </row>
    <row r="31" spans="2:2">
      <c r="B31" s="124"/>
    </row>
    <row r="32" spans="2:2">
      <c r="B32" s="124"/>
    </row>
    <row r="34" spans="2:2">
      <c r="B34" s="24" t="s">
        <v>208</v>
      </c>
    </row>
    <row r="35" spans="2:2">
      <c r="B35" s="124"/>
    </row>
    <row r="36" spans="2:2">
      <c r="B36" s="12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7D198-B341-4270-B536-C8E0BD89AFBF}">
  <sheetPr>
    <tabColor theme="9" tint="0.79998168889431442"/>
  </sheetPr>
  <dimension ref="B2:D33"/>
  <sheetViews>
    <sheetView showGridLines="0" zoomScale="85" zoomScaleNormal="85" workbookViewId="0"/>
  </sheetViews>
  <sheetFormatPr defaultColWidth="8.7109375" defaultRowHeight="15"/>
  <cols>
    <col min="1" max="1" width="6.7109375" customWidth="1"/>
    <col min="2" max="2" width="31.28515625" customWidth="1"/>
    <col min="3" max="10" width="21.28515625" customWidth="1"/>
  </cols>
  <sheetData>
    <row r="2" spans="2:2">
      <c r="B2" s="24" t="s">
        <v>230</v>
      </c>
    </row>
    <row r="3" spans="2:2">
      <c r="B3" t="s">
        <v>231</v>
      </c>
    </row>
    <row r="4" spans="2:2">
      <c r="B4" t="s">
        <v>326</v>
      </c>
    </row>
    <row r="6" spans="2:2">
      <c r="B6" t="s">
        <v>327</v>
      </c>
    </row>
    <row r="7" spans="2:2">
      <c r="B7" s="58" t="s">
        <v>297</v>
      </c>
    </row>
    <row r="8" spans="2:2">
      <c r="B8" s="58" t="s">
        <v>328</v>
      </c>
    </row>
    <row r="9" spans="2:2">
      <c r="B9" s="58"/>
    </row>
    <row r="10" spans="2:2">
      <c r="B10" s="59" t="s">
        <v>298</v>
      </c>
    </row>
    <row r="11" spans="2:2">
      <c r="B11" s="59" t="s">
        <v>299</v>
      </c>
    </row>
    <row r="12" spans="2:2">
      <c r="B12" s="58" t="s">
        <v>329</v>
      </c>
    </row>
    <row r="13" spans="2:2">
      <c r="B13" s="59" t="s">
        <v>302</v>
      </c>
    </row>
    <row r="15" spans="2:2" ht="18">
      <c r="B15" t="s">
        <v>229</v>
      </c>
    </row>
    <row r="17" spans="2:4" ht="18">
      <c r="B17" t="s">
        <v>352</v>
      </c>
      <c r="C17" s="61">
        <f>IF(Guidance!D21="RCF",(C18*C19)/C20,0)</f>
        <v>0</v>
      </c>
      <c r="D17" t="s">
        <v>227</v>
      </c>
    </row>
    <row r="18" spans="2:4" ht="18">
      <c r="B18" t="s">
        <v>353</v>
      </c>
      <c r="C18" s="62" t="str">
        <f>IF(Guidance!D21="RCF",22%, "NA")</f>
        <v>NA</v>
      </c>
      <c r="D18" t="s">
        <v>237</v>
      </c>
    </row>
    <row r="19" spans="2:4" ht="18">
      <c r="B19" t="s">
        <v>354</v>
      </c>
      <c r="C19" s="63" t="str">
        <f>IF(Guidance!D21="RCF",INDEX(Assumptions!$C$16:$AF$16, 1, MATCH(Guidance!$D$18, Assumptions!$C$15:$AF$15, FALSE)), "NA")</f>
        <v>NA</v>
      </c>
      <c r="D19" t="s">
        <v>301</v>
      </c>
    </row>
    <row r="20" spans="2:4" ht="18">
      <c r="B20" t="s">
        <v>355</v>
      </c>
      <c r="C20" s="62" t="str">
        <f>IF(Guidance!D21="RCF",Summary!D15, "NA")</f>
        <v>NA</v>
      </c>
      <c r="D20" t="s">
        <v>228</v>
      </c>
    </row>
    <row r="23" spans="2:4">
      <c r="B23" s="24" t="s">
        <v>300</v>
      </c>
    </row>
    <row r="24" spans="2:4">
      <c r="B24" s="124"/>
    </row>
    <row r="25" spans="2:4">
      <c r="B25" s="124"/>
    </row>
    <row r="27" spans="2:4">
      <c r="B27" s="24" t="s">
        <v>296</v>
      </c>
    </row>
    <row r="28" spans="2:4">
      <c r="B28" s="124"/>
    </row>
    <row r="29" spans="2:4">
      <c r="B29" s="124"/>
    </row>
    <row r="31" spans="2:4">
      <c r="B31" s="155" t="s">
        <v>295</v>
      </c>
    </row>
    <row r="32" spans="2:4">
      <c r="B32" s="124"/>
    </row>
    <row r="33" spans="2:2">
      <c r="B33" s="12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sheetPr>
  <dimension ref="B2:Z81"/>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308</v>
      </c>
      <c r="G2" s="2" t="s">
        <v>358</v>
      </c>
      <c r="H2" s="2" t="s">
        <v>164</v>
      </c>
      <c r="I2" s="2" t="s">
        <v>359</v>
      </c>
      <c r="J2" s="2" t="s">
        <v>333</v>
      </c>
      <c r="K2" s="2" t="s">
        <v>334</v>
      </c>
      <c r="L2" s="2" t="s">
        <v>306</v>
      </c>
      <c r="M2" s="2" t="s">
        <v>307</v>
      </c>
      <c r="N2" s="2" t="s">
        <v>336</v>
      </c>
      <c r="O2" s="2" t="s">
        <v>332</v>
      </c>
      <c r="P2" s="2" t="s">
        <v>330</v>
      </c>
      <c r="Q2" s="2"/>
      <c r="R2" s="30" t="s">
        <v>360</v>
      </c>
      <c r="S2" s="2" t="s">
        <v>331</v>
      </c>
      <c r="T2" s="2" t="s">
        <v>246</v>
      </c>
      <c r="U2" s="2" t="s">
        <v>335</v>
      </c>
      <c r="V2" s="2" t="s">
        <v>165</v>
      </c>
      <c r="W2" s="30" t="s">
        <v>247</v>
      </c>
      <c r="X2" s="30"/>
      <c r="Y2" s="2" t="s">
        <v>166</v>
      </c>
    </row>
    <row r="3" spans="2:26" ht="15.75" thickTop="1"/>
    <row r="4" spans="2:26">
      <c r="B4" s="142" t="s">
        <v>167</v>
      </c>
      <c r="C4" s="138"/>
      <c r="D4" s="138"/>
      <c r="E4" s="139"/>
      <c r="F4" s="138"/>
      <c r="G4" s="140"/>
      <c r="H4" s="141"/>
      <c r="I4" s="141"/>
      <c r="J4" s="141"/>
      <c r="K4" s="161"/>
      <c r="L4" s="161"/>
      <c r="M4" s="161"/>
      <c r="N4" s="141"/>
      <c r="O4" s="141"/>
      <c r="P4" s="141"/>
      <c r="Q4" s="141"/>
      <c r="R4" s="141"/>
      <c r="S4" s="141"/>
      <c r="T4" s="141"/>
      <c r="U4" s="141"/>
      <c r="V4" s="141"/>
      <c r="W4" s="141"/>
      <c r="X4" s="141"/>
      <c r="Y4" s="141"/>
      <c r="Z4" s="3"/>
    </row>
    <row r="5" spans="2:26">
      <c r="B5" s="9" t="s">
        <v>168</v>
      </c>
      <c r="C5" s="144" t="s">
        <v>238</v>
      </c>
      <c r="D5" s="8" t="s">
        <v>244</v>
      </c>
      <c r="E5" s="162"/>
      <c r="F5" s="157"/>
      <c r="G5" s="157"/>
      <c r="H5" s="159"/>
      <c r="I5" s="159" t="s">
        <v>169</v>
      </c>
      <c r="J5" s="162"/>
      <c r="K5" s="159"/>
      <c r="L5" s="159"/>
      <c r="M5" s="159"/>
      <c r="N5" s="163"/>
      <c r="O5" s="37">
        <f t="shared" ref="O5:O14" si="0">IF($D5="MWh/yr (LHV)",$E5,$J5*$E5*(1-$L5)/3.6)</f>
        <v>0</v>
      </c>
      <c r="P5" s="3"/>
      <c r="T5" s="162">
        <v>0</v>
      </c>
      <c r="U5" s="159"/>
      <c r="V5" s="158" t="s">
        <v>255</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63"/>
      <c r="O6" s="37">
        <f t="shared" si="0"/>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63"/>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63"/>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63"/>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63"/>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63"/>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63"/>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63"/>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63"/>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63"/>
      <c r="O15" s="160"/>
      <c r="T15" s="160"/>
      <c r="U15" s="160"/>
      <c r="V15" s="160"/>
      <c r="W15" s="146"/>
      <c r="Y15" s="18"/>
      <c r="Z15" s="3"/>
    </row>
    <row r="16" spans="2:26">
      <c r="B16" s="142" t="s">
        <v>174</v>
      </c>
      <c r="C16" s="138"/>
      <c r="D16" s="138"/>
      <c r="E16" s="168"/>
      <c r="F16" s="169"/>
      <c r="G16" s="170"/>
      <c r="H16" s="161"/>
      <c r="I16" s="161"/>
      <c r="J16" s="161"/>
      <c r="K16" s="161"/>
      <c r="L16" s="161"/>
      <c r="M16" s="161"/>
      <c r="N16" s="164"/>
      <c r="O16" s="161"/>
      <c r="P16" s="161"/>
      <c r="Q16" s="161"/>
      <c r="R16" s="161"/>
      <c r="S16" s="161"/>
      <c r="T16" s="161"/>
      <c r="U16" s="161"/>
      <c r="V16" s="161"/>
      <c r="W16" s="161"/>
      <c r="X16" s="161"/>
      <c r="Y16" s="161"/>
      <c r="Z16" s="3"/>
    </row>
    <row r="17" spans="2:26">
      <c r="B17" s="9" t="s">
        <v>175</v>
      </c>
      <c r="C17" s="144" t="s">
        <v>248</v>
      </c>
      <c r="D17" s="8" t="s">
        <v>244</v>
      </c>
      <c r="E17" s="158"/>
      <c r="F17" s="157"/>
      <c r="G17" s="157"/>
      <c r="H17" s="157"/>
      <c r="I17" s="157" t="s">
        <v>176</v>
      </c>
      <c r="J17" s="158"/>
      <c r="K17" s="157"/>
      <c r="L17" s="157"/>
      <c r="M17" s="157"/>
      <c r="N17" s="163"/>
      <c r="O17" s="37">
        <f t="shared" ref="O17:O33" si="4">IF($D17="MWh/yr (LHV)",$E17,$J17*$E17*(1-$L17)/3.6)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363</v>
      </c>
      <c r="D18" s="8" t="s">
        <v>244</v>
      </c>
      <c r="E18" s="158"/>
      <c r="F18" s="157"/>
      <c r="G18" s="157"/>
      <c r="H18" s="159"/>
      <c r="I18" s="159"/>
      <c r="J18" s="159"/>
      <c r="K18" s="159"/>
      <c r="L18" s="159"/>
      <c r="M18" s="159"/>
      <c r="N18" s="163"/>
      <c r="O18" s="37">
        <f t="shared" si="4"/>
        <v>0</v>
      </c>
      <c r="P18" s="3"/>
      <c r="Q18" s="3"/>
      <c r="R18" s="37">
        <f>IF($D18="MWh/yr (LHV)",$E18,$E18*MAX(0, $J18*(1-$L18)-2.441*$L18)/kWh_to_MJ)</f>
        <v>0</v>
      </c>
      <c r="S18" s="173" t="str">
        <f>IFERROR(R18/(SUM($R$17:$R$19)),"")</f>
        <v/>
      </c>
      <c r="T18" s="175"/>
      <c r="U18" s="175"/>
      <c r="V18" s="175"/>
      <c r="W18" s="147"/>
      <c r="Y18" s="13"/>
    </row>
    <row r="19" spans="2:26" s="6" customFormat="1">
      <c r="B19" s="143" t="s">
        <v>179</v>
      </c>
      <c r="C19" s="144" t="s">
        <v>363</v>
      </c>
      <c r="D19" s="8" t="s">
        <v>244</v>
      </c>
      <c r="E19" s="158"/>
      <c r="F19" s="157"/>
      <c r="G19" s="157"/>
      <c r="H19" s="159"/>
      <c r="I19" s="159"/>
      <c r="J19" s="159"/>
      <c r="K19" s="159"/>
      <c r="L19" s="159"/>
      <c r="M19" s="159"/>
      <c r="N19" s="163"/>
      <c r="O19" s="37">
        <f t="shared" si="4"/>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63"/>
      <c r="O20" s="37">
        <f t="shared" si="4"/>
        <v>0</v>
      </c>
      <c r="P20" s="3"/>
      <c r="Q20" s="3"/>
      <c r="R20" s="3"/>
      <c r="S20" s="3"/>
      <c r="T20" s="162" t="str">
        <f t="shared" ref="T20:T23" si="5">IF(D20="", "", IF(F20="MWh/yr (LHV)", "Use column to right", "Enter data here"))</f>
        <v>Enter data here</v>
      </c>
      <c r="U20" s="162" t="str">
        <f t="shared" ref="U20:U23" si="6">IF(D20="", "", IF(F20="MWh/yr (LHV)", "Enter data here", "Use column to left"))</f>
        <v>Use column to left</v>
      </c>
      <c r="V20" s="158" t="s">
        <v>305</v>
      </c>
      <c r="W20" s="145" t="str">
        <f t="shared" ref="W20:W23" si="7">IFERROR(IF(F20="tonnes/yr", $Q20*$E20/($L$17*3.6), $S20*$E20*3.6/($L$17*3.6)),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63"/>
      <c r="O21" s="37">
        <f t="shared" si="4"/>
        <v>0</v>
      </c>
      <c r="P21" s="3"/>
      <c r="Q21" s="3"/>
      <c r="R21" s="3"/>
      <c r="S21" s="3"/>
      <c r="T21" s="162" t="str">
        <f t="shared" si="5"/>
        <v>Enter data here</v>
      </c>
      <c r="U21" s="162" t="str">
        <f t="shared" si="6"/>
        <v>Use column to left</v>
      </c>
      <c r="V21" s="158" t="s">
        <v>305</v>
      </c>
      <c r="W21" s="145" t="str">
        <f t="shared" si="7"/>
        <v>Unfilled fields on left</v>
      </c>
      <c r="Y21" s="13"/>
    </row>
    <row r="22" spans="2:26" s="6" customFormat="1">
      <c r="B22" s="143" t="s">
        <v>180</v>
      </c>
      <c r="C22" s="144" t="s">
        <v>252</v>
      </c>
      <c r="D22" s="8" t="s">
        <v>244</v>
      </c>
      <c r="E22" s="158"/>
      <c r="F22" s="157"/>
      <c r="G22" s="157"/>
      <c r="H22" s="159"/>
      <c r="I22" s="162"/>
      <c r="J22" s="162"/>
      <c r="K22" s="159"/>
      <c r="L22" s="159"/>
      <c r="M22" s="159"/>
      <c r="N22" s="163"/>
      <c r="O22" s="37">
        <f t="shared" si="4"/>
        <v>0</v>
      </c>
      <c r="P22" s="3"/>
      <c r="Q22" s="3"/>
      <c r="R22" s="3"/>
      <c r="S22" s="3"/>
      <c r="T22" s="162" t="str">
        <f t="shared" si="5"/>
        <v>Enter data here</v>
      </c>
      <c r="U22" s="162" t="str">
        <f t="shared" si="6"/>
        <v>Use column to left</v>
      </c>
      <c r="V22" s="158" t="s">
        <v>305</v>
      </c>
      <c r="W22" s="145" t="str">
        <f t="shared" si="7"/>
        <v>Unfilled fields on left</v>
      </c>
      <c r="Y22" s="13"/>
    </row>
    <row r="23" spans="2:26" s="6" customFormat="1">
      <c r="B23" s="143" t="s">
        <v>180</v>
      </c>
      <c r="C23" s="144" t="s">
        <v>181</v>
      </c>
      <c r="D23" s="8" t="s">
        <v>244</v>
      </c>
      <c r="E23" s="157"/>
      <c r="F23" s="157"/>
      <c r="G23" s="157"/>
      <c r="H23" s="159"/>
      <c r="I23" s="159"/>
      <c r="J23" s="159"/>
      <c r="K23" s="159"/>
      <c r="L23" s="159"/>
      <c r="M23" s="159"/>
      <c r="N23" s="163"/>
      <c r="O23" s="37">
        <f t="shared" si="4"/>
        <v>0</v>
      </c>
      <c r="P23" s="3"/>
      <c r="Q23" s="3"/>
      <c r="R23" s="3"/>
      <c r="S23" s="3"/>
      <c r="T23" s="162" t="str">
        <f t="shared" si="5"/>
        <v>Enter data here</v>
      </c>
      <c r="U23" s="162" t="str">
        <f t="shared" si="6"/>
        <v>Use column to left</v>
      </c>
      <c r="V23" s="158" t="s">
        <v>305</v>
      </c>
      <c r="W23" s="145" t="str">
        <f t="shared" si="7"/>
        <v>Unfilled fields on left</v>
      </c>
      <c r="Y23" s="13"/>
    </row>
    <row r="24" spans="2:26" s="6" customFormat="1">
      <c r="B24" s="143" t="s">
        <v>375</v>
      </c>
      <c r="C24" s="144" t="s">
        <v>380</v>
      </c>
      <c r="D24" s="8" t="s">
        <v>244</v>
      </c>
      <c r="E24" s="157"/>
      <c r="F24" s="157"/>
      <c r="G24" s="157"/>
      <c r="H24" s="159"/>
      <c r="I24" s="159"/>
      <c r="J24" s="159"/>
      <c r="K24" s="159"/>
      <c r="L24" s="159"/>
      <c r="M24" s="159"/>
      <c r="N24" s="163"/>
      <c r="O24" s="37">
        <f t="shared" si="4"/>
        <v>0</v>
      </c>
      <c r="P24" s="3"/>
      <c r="Q24" s="3"/>
      <c r="R24" s="3"/>
      <c r="S24" s="3"/>
      <c r="T24" s="158">
        <v>1000</v>
      </c>
      <c r="U24" s="15"/>
      <c r="V24" s="158" t="s">
        <v>270</v>
      </c>
      <c r="W24" s="145" t="str">
        <f>IFERROR(IF(D24="tonnes/yr", $T24*$E24/($O$17*3.6), $U24*$E24*3.6/($O$17*3.6)), "Unfilled fields on left")</f>
        <v>Unfilled fields on left</v>
      </c>
      <c r="Y24" s="13"/>
    </row>
    <row r="25" spans="2:26" s="6" customFormat="1">
      <c r="B25" s="143" t="s">
        <v>376</v>
      </c>
      <c r="C25" s="144" t="s">
        <v>253</v>
      </c>
      <c r="D25" s="8" t="s">
        <v>244</v>
      </c>
      <c r="E25" s="157"/>
      <c r="F25" s="157"/>
      <c r="G25" s="157"/>
      <c r="H25" s="159"/>
      <c r="I25" s="159"/>
      <c r="J25" s="159"/>
      <c r="K25" s="159"/>
      <c r="L25" s="159"/>
      <c r="M25" s="159"/>
      <c r="N25" s="163"/>
      <c r="O25" s="37">
        <f t="shared" si="4"/>
        <v>0</v>
      </c>
      <c r="P25" s="3"/>
      <c r="Q25" s="3"/>
      <c r="R25" s="3"/>
      <c r="S25" s="3"/>
      <c r="T25" s="158">
        <v>28000</v>
      </c>
      <c r="U25" s="15"/>
      <c r="V25" s="158" t="s">
        <v>256</v>
      </c>
      <c r="W25" s="145" t="str">
        <f>IFERROR(IF(D25="tonnes/yr", $T25*$E25/($O$17*3.6), $U25*$E25*3.6/($O$17*3.6)), "Unfilled fields on left")</f>
        <v>Unfilled fields on left</v>
      </c>
      <c r="Y25" s="13"/>
    </row>
    <row r="26" spans="2:26" s="6" customFormat="1">
      <c r="B26" s="143" t="s">
        <v>376</v>
      </c>
      <c r="C26" s="144" t="s">
        <v>254</v>
      </c>
      <c r="D26" s="8" t="s">
        <v>244</v>
      </c>
      <c r="E26" s="157"/>
      <c r="F26" s="157"/>
      <c r="G26" s="157"/>
      <c r="H26" s="159"/>
      <c r="I26" s="159"/>
      <c r="J26" s="159"/>
      <c r="K26" s="159"/>
      <c r="L26" s="159"/>
      <c r="M26" s="159"/>
      <c r="N26" s="163"/>
      <c r="O26" s="37">
        <f t="shared" si="4"/>
        <v>0</v>
      </c>
      <c r="P26" s="3"/>
      <c r="Q26" s="3"/>
      <c r="R26" s="3"/>
      <c r="S26" s="3"/>
      <c r="T26" s="158">
        <v>265000</v>
      </c>
      <c r="U26" s="1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63"/>
      <c r="O27" s="37">
        <f t="shared" si="4"/>
        <v>0</v>
      </c>
      <c r="P27" s="3"/>
      <c r="Q27" s="3"/>
      <c r="R27" s="3"/>
      <c r="S27" s="3"/>
      <c r="T27" s="16"/>
      <c r="U27" s="15"/>
      <c r="V27" s="16"/>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63"/>
      <c r="O28" s="37">
        <f t="shared" si="4"/>
        <v>0</v>
      </c>
      <c r="P28" s="3"/>
      <c r="Q28" s="3"/>
      <c r="R28" s="3"/>
      <c r="S28" s="3"/>
      <c r="T28" s="16"/>
      <c r="U28" s="15"/>
      <c r="V28" s="16"/>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63"/>
      <c r="O29" s="37">
        <f t="shared" si="4"/>
        <v>0</v>
      </c>
      <c r="P29" s="3"/>
      <c r="T29" s="16"/>
      <c r="U29" s="15"/>
      <c r="V29" s="16"/>
      <c r="W29" s="145" t="str">
        <f t="shared" ref="W29:W33" si="8">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63"/>
      <c r="O30" s="37">
        <f t="shared" si="4"/>
        <v>0</v>
      </c>
      <c r="P30" s="3"/>
      <c r="T30" s="16"/>
      <c r="U30" s="15"/>
      <c r="V30" s="16"/>
      <c r="W30" s="145" t="str">
        <f t="shared" si="8"/>
        <v>Unfilled fields on left</v>
      </c>
      <c r="X30" s="6"/>
      <c r="Y30" s="13"/>
      <c r="Z30" s="3"/>
    </row>
    <row r="31" spans="2:26">
      <c r="B31" s="9"/>
      <c r="C31" s="8"/>
      <c r="D31" s="8"/>
      <c r="E31" s="157"/>
      <c r="F31" s="157"/>
      <c r="G31" s="157"/>
      <c r="H31" s="159"/>
      <c r="I31" s="159"/>
      <c r="J31" s="159"/>
      <c r="K31" s="159"/>
      <c r="L31" s="159"/>
      <c r="M31" s="159"/>
      <c r="N31" s="163"/>
      <c r="O31" s="37">
        <f t="shared" si="4"/>
        <v>0</v>
      </c>
      <c r="P31" s="3"/>
      <c r="T31" s="16"/>
      <c r="U31" s="15"/>
      <c r="V31" s="16"/>
      <c r="W31" s="145" t="str">
        <f t="shared" si="8"/>
        <v>Unfilled fields on left</v>
      </c>
      <c r="X31" s="6"/>
      <c r="Y31" s="13"/>
      <c r="Z31" s="3"/>
    </row>
    <row r="32" spans="2:26">
      <c r="B32" s="9"/>
      <c r="C32" s="8"/>
      <c r="D32" s="8"/>
      <c r="E32" s="157"/>
      <c r="F32" s="157"/>
      <c r="G32" s="157"/>
      <c r="H32" s="159"/>
      <c r="I32" s="159"/>
      <c r="J32" s="159"/>
      <c r="K32" s="159"/>
      <c r="L32" s="159"/>
      <c r="M32" s="159"/>
      <c r="N32" s="163"/>
      <c r="O32" s="37">
        <f t="shared" si="4"/>
        <v>0</v>
      </c>
      <c r="P32" s="3"/>
      <c r="T32" s="16"/>
      <c r="U32" s="15"/>
      <c r="V32" s="16"/>
      <c r="W32" s="145" t="str">
        <f t="shared" si="8"/>
        <v>Unfilled fields on left</v>
      </c>
      <c r="X32" s="6"/>
      <c r="Y32" s="13"/>
      <c r="Z32" s="3"/>
    </row>
    <row r="33" spans="2:26">
      <c r="B33" s="9"/>
      <c r="C33" s="8"/>
      <c r="D33" s="8"/>
      <c r="E33" s="157"/>
      <c r="F33" s="157"/>
      <c r="G33" s="157"/>
      <c r="H33" s="159"/>
      <c r="I33" s="159"/>
      <c r="J33" s="159"/>
      <c r="K33" s="159"/>
      <c r="L33" s="159"/>
      <c r="M33" s="159"/>
      <c r="N33" s="163"/>
      <c r="O33" s="37">
        <f t="shared" si="4"/>
        <v>0</v>
      </c>
      <c r="P33" s="3"/>
      <c r="T33" s="16"/>
      <c r="U33" s="15"/>
      <c r="V33" s="16"/>
      <c r="W33" s="145" t="str">
        <f t="shared" si="8"/>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N35" s="15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row>
    <row r="42" spans="2:26">
      <c r="E42" s="3"/>
    </row>
    <row r="43" spans="2:26">
      <c r="E43" s="3"/>
    </row>
    <row r="44" spans="2:26">
      <c r="E44" s="3"/>
    </row>
    <row r="45" spans="2:26">
      <c r="E45" s="3"/>
    </row>
    <row r="46" spans="2:26">
      <c r="E46" s="3"/>
    </row>
    <row r="47" spans="2:26">
      <c r="E47" s="3"/>
    </row>
    <row r="48" spans="2:26">
      <c r="E48" s="3"/>
    </row>
    <row r="49" spans="5:5">
      <c r="E49" s="3"/>
    </row>
    <row r="50" spans="5:5">
      <c r="E50" s="3"/>
    </row>
    <row r="51" spans="5:5">
      <c r="E51" s="3"/>
    </row>
    <row r="52" spans="5:5">
      <c r="E52" s="3"/>
    </row>
    <row r="53" spans="5:5">
      <c r="E53" s="3"/>
    </row>
    <row r="54" spans="5:5">
      <c r="E54" s="3"/>
    </row>
    <row r="55" spans="5:5">
      <c r="E55" s="3"/>
    </row>
    <row r="56" spans="5:5">
      <c r="E56" s="3"/>
    </row>
    <row r="57" spans="5:5">
      <c r="E57" s="3"/>
    </row>
    <row r="58" spans="5:5">
      <c r="E58" s="3"/>
    </row>
    <row r="59" spans="5:5">
      <c r="E59" s="3"/>
    </row>
    <row r="60" spans="5:5">
      <c r="E60" s="3"/>
    </row>
    <row r="61" spans="5:5">
      <c r="E61" s="3"/>
    </row>
    <row r="62" spans="5:5">
      <c r="E62" s="3"/>
    </row>
    <row r="63" spans="5:5">
      <c r="E63" s="3"/>
    </row>
    <row r="64" spans="5:5">
      <c r="E64" s="3"/>
    </row>
    <row r="65" spans="5:5">
      <c r="E65" s="3"/>
    </row>
    <row r="66" spans="5:5">
      <c r="E66" s="3"/>
    </row>
    <row r="67" spans="5:5">
      <c r="E67" s="3"/>
    </row>
    <row r="68" spans="5:5">
      <c r="E68" s="3"/>
    </row>
    <row r="69" spans="5:5">
      <c r="E69" s="3"/>
    </row>
    <row r="70" spans="5:5">
      <c r="E70" s="3"/>
    </row>
    <row r="71" spans="5:5">
      <c r="E71" s="3"/>
    </row>
    <row r="72" spans="5:5">
      <c r="E72" s="3"/>
    </row>
    <row r="73" spans="5:5">
      <c r="E73" s="3"/>
    </row>
    <row r="74" spans="5:5">
      <c r="E74" s="3"/>
    </row>
    <row r="75" spans="5:5">
      <c r="E75" s="3"/>
    </row>
    <row r="76" spans="5:5">
      <c r="E76" s="3"/>
    </row>
    <row r="77" spans="5:5">
      <c r="E77" s="3"/>
    </row>
    <row r="78" spans="5:5">
      <c r="E78" s="3"/>
    </row>
    <row r="79" spans="5:5">
      <c r="E79" s="3"/>
    </row>
    <row r="80" spans="5:5">
      <c r="E80" s="3"/>
    </row>
    <row r="81" spans="5:5">
      <c r="E81" s="3"/>
    </row>
  </sheetData>
  <dataValidations count="1">
    <dataValidation type="list" allowBlank="1" showInputMessage="1" showErrorMessage="1" sqref="D5:D14 D17:D33" xr:uid="{07BE9699-9C62-498A-AE4D-FA9BBD3DD09F}">
      <formula1>"tonnes/yr, MWh/yr (LHV)"</formula1>
    </dataValidation>
  </dataValidations>
  <pageMargins left="0.70000000000000007" right="0.70000000000000007" top="0.75" bottom="0.75" header="0.30000000000000004" footer="0.30000000000000004"/>
  <pageSetup paperSize="9" orientation="portrait" r:id="rId1"/>
  <ignoredErrors>
    <ignoredError sqref="O20:Y23 O5:Y19 O25:Y33 O24:U24 W24:Y24" unlockedFormula="1"/>
  </ignoredError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308</v>
      </c>
      <c r="G2" s="2" t="s">
        <v>358</v>
      </c>
      <c r="H2" s="2" t="s">
        <v>164</v>
      </c>
      <c r="I2" s="2" t="s">
        <v>359</v>
      </c>
      <c r="J2" s="2" t="s">
        <v>333</v>
      </c>
      <c r="K2" s="2" t="s">
        <v>334</v>
      </c>
      <c r="L2" s="2" t="s">
        <v>306</v>
      </c>
      <c r="M2" s="2" t="s">
        <v>307</v>
      </c>
      <c r="N2" s="2" t="s">
        <v>336</v>
      </c>
      <c r="O2" s="2" t="s">
        <v>332</v>
      </c>
      <c r="P2" s="2" t="s">
        <v>330</v>
      </c>
      <c r="Q2" s="2"/>
      <c r="R2" s="30" t="s">
        <v>360</v>
      </c>
      <c r="S2" s="2" t="s">
        <v>331</v>
      </c>
      <c r="T2" s="2" t="s">
        <v>246</v>
      </c>
      <c r="U2" s="2" t="s">
        <v>335</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'Feedstock collection'!C17</f>
        <v>e.g. Forestry residue chips</v>
      </c>
      <c r="D5" s="8" t="s">
        <v>244</v>
      </c>
      <c r="E5" s="162"/>
      <c r="F5" s="157"/>
      <c r="G5" s="157"/>
      <c r="H5" s="159"/>
      <c r="I5" s="159" t="s">
        <v>176</v>
      </c>
      <c r="J5" s="162"/>
      <c r="K5" s="159"/>
      <c r="L5" s="159"/>
      <c r="M5" s="159"/>
      <c r="N5" s="14"/>
      <c r="O5" s="37">
        <f t="shared" ref="O5:O14" si="0">IF($D5="MWh/yr (LHV)",$E5,$J5*$E5*(1-$L5)/3.6)</f>
        <v>0</v>
      </c>
      <c r="P5" s="3"/>
      <c r="T5" s="162" t="str">
        <f t="shared" ref="T5:T14" si="1">IF(B5="", "", IF(D5="MWh/yr (LHV)", "Use column to right", "Enter data here"))</f>
        <v>Enter data here</v>
      </c>
      <c r="U5" s="162" t="str">
        <f t="shared" ref="U5:U14" si="2">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si="0"/>
        <v>0</v>
      </c>
      <c r="P6" s="3"/>
      <c r="T6" s="162" t="str">
        <f t="shared" si="1"/>
        <v>Use column to right</v>
      </c>
      <c r="U6" s="162" t="str">
        <f t="shared" si="2"/>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60"/>
      <c r="T15" s="160"/>
      <c r="U15" s="160"/>
      <c r="V15" s="160"/>
      <c r="W15" s="146"/>
      <c r="Y15" s="18"/>
      <c r="Z15" s="3"/>
    </row>
    <row r="16" spans="2:26">
      <c r="B16" s="142" t="s">
        <v>174</v>
      </c>
      <c r="C16" s="138"/>
      <c r="D16" s="138"/>
      <c r="E16" s="168"/>
      <c r="F16" s="169"/>
      <c r="G16" s="170"/>
      <c r="H16" s="161"/>
      <c r="I16" s="161"/>
      <c r="J16" s="161"/>
      <c r="K16" s="161"/>
      <c r="L16" s="161"/>
      <c r="M16" s="161"/>
      <c r="N16" s="141"/>
      <c r="O16" s="161"/>
      <c r="P16" s="141"/>
      <c r="Q16" s="141"/>
      <c r="R16" s="141"/>
      <c r="S16" s="141"/>
      <c r="T16" s="161"/>
      <c r="U16" s="161"/>
      <c r="V16" s="161"/>
      <c r="W16" s="141"/>
      <c r="X16" s="141"/>
      <c r="Y16" s="141"/>
      <c r="Z16" s="3"/>
    </row>
    <row r="17" spans="2:26">
      <c r="B17" s="9" t="s">
        <v>175</v>
      </c>
      <c r="C17" s="144" t="s">
        <v>248</v>
      </c>
      <c r="D17" s="8" t="s">
        <v>244</v>
      </c>
      <c r="E17" s="158"/>
      <c r="F17" s="157"/>
      <c r="G17" s="157"/>
      <c r="H17" s="157"/>
      <c r="I17" s="157" t="s">
        <v>176</v>
      </c>
      <c r="J17" s="158"/>
      <c r="K17" s="157"/>
      <c r="L17" s="157"/>
      <c r="M17" s="157"/>
      <c r="N17" s="14"/>
      <c r="O17" s="37">
        <f t="shared" ref="O17:O33" si="4">IF($D17="MWh/yr (LHV)",$E17,$J17*$E17*(1-$L17)/3.6)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363</v>
      </c>
      <c r="D18" s="8" t="s">
        <v>244</v>
      </c>
      <c r="E18" s="158"/>
      <c r="F18" s="157"/>
      <c r="G18" s="157"/>
      <c r="H18" s="159"/>
      <c r="I18" s="159"/>
      <c r="J18" s="159"/>
      <c r="K18" s="159"/>
      <c r="L18" s="159"/>
      <c r="M18" s="159"/>
      <c r="N18" s="14"/>
      <c r="O18" s="37">
        <f t="shared" si="4"/>
        <v>0</v>
      </c>
      <c r="P18" s="3"/>
      <c r="Q18" s="3"/>
      <c r="R18" s="37">
        <f>IF($D18="MWh/yr (LHV)",$E18,$E18*MAX(0, $J18*(1-$L18)-2.441*$L18)/kWh_to_MJ)</f>
        <v>0</v>
      </c>
      <c r="S18" s="173" t="str">
        <f>IFERROR(R18/(SUM($R$17:$R$19)),"")</f>
        <v/>
      </c>
      <c r="T18" s="175"/>
      <c r="U18" s="175"/>
      <c r="V18" s="175"/>
      <c r="W18" s="147"/>
      <c r="Y18" s="13"/>
    </row>
    <row r="19" spans="2:26" s="6" customFormat="1">
      <c r="B19" s="143" t="s">
        <v>179</v>
      </c>
      <c r="C19" s="144" t="s">
        <v>363</v>
      </c>
      <c r="D19" s="8" t="s">
        <v>244</v>
      </c>
      <c r="E19" s="158"/>
      <c r="F19" s="157"/>
      <c r="G19" s="157"/>
      <c r="H19" s="159"/>
      <c r="I19" s="159"/>
      <c r="J19" s="159"/>
      <c r="K19" s="159"/>
      <c r="L19" s="159"/>
      <c r="M19" s="159"/>
      <c r="N19" s="14"/>
      <c r="O19" s="37">
        <f t="shared" si="4"/>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5">IF(B20="", "", IF(D20="MWh/yr (LHV)", "Use column to right", "Enter data here"))</f>
        <v>Enter data here</v>
      </c>
      <c r="U20" s="162" t="str">
        <f t="shared" ref="U20:U23" si="6">IF(B20="", "", IF(D20="MWh/yr (LHV)", "Enter data here", "Use column to left"))</f>
        <v>Use column to left</v>
      </c>
      <c r="V20" s="158" t="s">
        <v>305</v>
      </c>
      <c r="W20" s="145" t="str">
        <f t="shared" ref="W20:W23" si="7">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5"/>
        <v>Enter data here</v>
      </c>
      <c r="U21" s="162" t="str">
        <f t="shared" si="6"/>
        <v>Use column to left</v>
      </c>
      <c r="V21" s="158" t="s">
        <v>305</v>
      </c>
      <c r="W21" s="145" t="str">
        <f t="shared" si="7"/>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5"/>
        <v>Enter data here</v>
      </c>
      <c r="U22" s="162" t="str">
        <f t="shared" si="6"/>
        <v>Use column to left</v>
      </c>
      <c r="V22" s="158" t="s">
        <v>305</v>
      </c>
      <c r="W22" s="145" t="str">
        <f t="shared" si="7"/>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5"/>
        <v>Enter data here</v>
      </c>
      <c r="U23" s="162" t="str">
        <f t="shared" si="6"/>
        <v>Use column to left</v>
      </c>
      <c r="V23" s="158" t="s">
        <v>305</v>
      </c>
      <c r="W23" s="145" t="str">
        <f t="shared" si="7"/>
        <v>Unfilled fields on left</v>
      </c>
      <c r="Y23" s="13"/>
    </row>
    <row r="24" spans="2:26" s="6" customFormat="1">
      <c r="B24" s="143" t="s">
        <v>375</v>
      </c>
      <c r="C24" s="144" t="s">
        <v>380</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376</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376</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6"/>
      <c r="U27" s="15"/>
      <c r="V27" s="16"/>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6"/>
      <c r="U28" s="15"/>
      <c r="V28" s="16"/>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6"/>
      <c r="U29" s="15"/>
      <c r="V29" s="16"/>
      <c r="W29" s="145" t="str">
        <f t="shared" ref="W29:W33" si="8">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6"/>
      <c r="U30" s="15"/>
      <c r="V30" s="16"/>
      <c r="W30" s="145" t="str">
        <f t="shared" si="8"/>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6"/>
      <c r="U31" s="15"/>
      <c r="V31" s="16"/>
      <c r="W31" s="145" t="str">
        <f t="shared" si="8"/>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6"/>
      <c r="U32" s="15"/>
      <c r="V32" s="16"/>
      <c r="W32" s="145" t="str">
        <f t="shared" si="8"/>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8"/>
        <v>Unfilled fields on left</v>
      </c>
      <c r="X33" s="6"/>
      <c r="Y33" s="13"/>
      <c r="Z33" s="3"/>
    </row>
    <row r="34" spans="2:26">
      <c r="C34" s="10"/>
      <c r="D34" s="10"/>
      <c r="E34" s="11"/>
      <c r="F34" s="10"/>
      <c r="H34" s="12"/>
      <c r="I34" s="12"/>
      <c r="J34" s="12"/>
      <c r="K34" s="12"/>
      <c r="L34" s="12"/>
      <c r="M34" s="12"/>
      <c r="N34" s="14"/>
      <c r="O34" s="12"/>
      <c r="P34" s="3"/>
      <c r="T34" s="12"/>
      <c r="U34" s="15"/>
      <c r="V34" s="12"/>
      <c r="W34" s="32"/>
      <c r="Z34" s="3"/>
    </row>
    <row r="35" spans="2:26">
      <c r="N35" s="14"/>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8"/>
      <c r="D38" s="8"/>
      <c r="E38" s="9"/>
    </row>
    <row r="39" spans="2:26">
      <c r="B39" s="9"/>
      <c r="C39" s="8"/>
      <c r="D39" s="8"/>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2B78AC28-7B51-442E-A11D-0042E59CEC0D}">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P17:S19 T5:W23 T25:W33 T24:U24 W24 O5:O33" unlockedFormula="1"/>
  </ignoredError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23379f8-d003-42cf-8725-7521c2e7a6e3">
      <Terms xmlns="http://schemas.microsoft.com/office/infopath/2007/PartnerControls"/>
    </lcf76f155ced4ddcb4097134ff3c332f>
    <TaxCatchAll xmlns="911db7ac-2230-4c99-9e2a-b0f41075dc2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529B952D3B2ED47BD6BBE1445414365" ma:contentTypeVersion="13" ma:contentTypeDescription="Create a new document." ma:contentTypeScope="" ma:versionID="55c3ef9e43c5094765b3be028739a394">
  <xsd:schema xmlns:xsd="http://www.w3.org/2001/XMLSchema" xmlns:xs="http://www.w3.org/2001/XMLSchema" xmlns:p="http://schemas.microsoft.com/office/2006/metadata/properties" xmlns:ns2="223379f8-d003-42cf-8725-7521c2e7a6e3" xmlns:ns3="911db7ac-2230-4c99-9e2a-b0f41075dc29" targetNamespace="http://schemas.microsoft.com/office/2006/metadata/properties" ma:root="true" ma:fieldsID="4fd2ed7b7e7fcf03780f19b9d28b48db" ns2:_="" ns3:_="">
    <xsd:import namespace="223379f8-d003-42cf-8725-7521c2e7a6e3"/>
    <xsd:import namespace="911db7ac-2230-4c99-9e2a-b0f41075dc2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3379f8-d003-42cf-8725-7521c2e7a6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7f6caf4-ed07-4ce4-a2d1-120a4826e92a"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1db7ac-2230-4c99-9e2a-b0f41075dc2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2461748-ca2b-41a2-9d0b-83fe7e0917f8}" ma:internalName="TaxCatchAll" ma:showField="CatchAllData" ma:web="911db7ac-2230-4c99-9e2a-b0f41075dc2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F430AE4-1BB4-432E-8FFD-9620639F63EF}">
  <ds:schemaRefs>
    <ds:schemaRef ds:uri="http://schemas.openxmlformats.org/package/2006/metadata/core-properties"/>
    <ds:schemaRef ds:uri="http://www.w3.org/XML/1998/namespace"/>
    <ds:schemaRef ds:uri="223379f8-d003-42cf-8725-7521c2e7a6e3"/>
    <ds:schemaRef ds:uri="http://schemas.microsoft.com/office/infopath/2007/PartnerControls"/>
    <ds:schemaRef ds:uri="http://purl.org/dc/dcmitype/"/>
    <ds:schemaRef ds:uri="http://schemas.microsoft.com/office/2006/metadata/properties"/>
    <ds:schemaRef ds:uri="http://schemas.microsoft.com/office/2006/documentManagement/types"/>
    <ds:schemaRef ds:uri="http://purl.org/dc/terms/"/>
    <ds:schemaRef ds:uri="911db7ac-2230-4c99-9e2a-b0f41075dc29"/>
    <ds:schemaRef ds:uri="http://purl.org/dc/elements/1.1/"/>
  </ds:schemaRefs>
</ds:datastoreItem>
</file>

<file path=customXml/itemProps2.xml><?xml version="1.0" encoding="utf-8"?>
<ds:datastoreItem xmlns:ds="http://schemas.openxmlformats.org/officeDocument/2006/customXml" ds:itemID="{13A9A655-B19B-4529-AF5E-D75FF9839F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23379f8-d003-42cf-8725-7521c2e7a6e3"/>
    <ds:schemaRef ds:uri="911db7ac-2230-4c99-9e2a-b0f41075dc2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E7ECBB3-2596-4F0C-A0D5-52929F551A37}">
  <ds:schemaRefs>
    <ds:schemaRef ds:uri="http://schemas.microsoft.com/sharepoint/v3/contenttype/forms"/>
  </ds:schemaRefs>
</ds:datastoreItem>
</file>

<file path=docMetadata/LabelInfo.xml><?xml version="1.0" encoding="utf-8"?>
<clbl:labelList xmlns:clbl="http://schemas.microsoft.com/office/2020/mipLabelMetadata">
  <clbl:label id="{02f252f2-5585-4f85-90db-06520d3c5dd1}" enabled="0" method="" siteId="{02f252f2-5585-4f85-90db-06520d3c5dd1}" removed="1"/>
  <clbl:label id="{a6c0d0a6-a4b9-4802-9a97-568759608577}" enabled="1" method="Standard" siteId="{f2fe6bd3-9c4a-485b-ae69-e18820a88130}"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Guidance</vt:lpstr>
      <vt:lpstr>Units</vt:lpstr>
      <vt:lpstr>Assumptions</vt:lpstr>
      <vt:lpstr>Summary</vt:lpstr>
      <vt:lpstr>System Boundary</vt:lpstr>
      <vt:lpstr>Additional evidence</vt:lpstr>
      <vt:lpstr>RCF counterfactual</vt:lpstr>
      <vt:lpstr>Feedstock collection</vt:lpstr>
      <vt:lpstr>Feedstock transport</vt:lpstr>
      <vt:lpstr>Pre-processing</vt:lpstr>
      <vt:lpstr>Intermediate transport</vt:lpstr>
      <vt:lpstr>Conversion</vt:lpstr>
      <vt:lpstr>Further transport</vt:lpstr>
      <vt:lpstr>Upgrading to fuel</vt:lpstr>
      <vt:lpstr>Fuel distribution 1</vt:lpstr>
      <vt:lpstr>Fuel storage</vt:lpstr>
      <vt:lpstr>Fuel distribution 2</vt:lpstr>
      <vt:lpstr>Refuelling</vt:lpstr>
      <vt:lpstr>bbl_to_USgal</vt:lpstr>
      <vt:lpstr>kWh_to_MJ</vt:lpstr>
      <vt:lpstr>Yes_No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H GHG Calculation for Advanced Fuels Fund</dc:title>
  <dc:subject/>
  <dc:creator>Eloise Cotton</dc:creator>
  <cp:keywords/>
  <dc:description/>
  <cp:lastModifiedBy>Richard Taylor</cp:lastModifiedBy>
  <cp:revision/>
  <dcterms:created xsi:type="dcterms:W3CDTF">2012-01-05T14:11:32Z</dcterms:created>
  <dcterms:modified xsi:type="dcterms:W3CDTF">2025-03-07T00:08:53Z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0x0101003529B952D3B2ED47BD6BBE1445414365</vt:lpwstr>
  </property>
  <property fmtid="{D5CDD505-2E9C-101B-9397-08002B2CF9AE}" pid="3" name="URL">
    <vt:lpwstr/>
  </property>
  <property fmtid="{D5CDD505-2E9C-101B-9397-08002B2CF9AE}" pid="4" name="_ExtendedDescription">
    <vt:lpwstr/>
  </property>
  <property fmtid="{D5CDD505-2E9C-101B-9397-08002B2CF9AE}" pid="5" name="MediaServiceImageTags">
    <vt:lpwstr/>
  </property>
  <property fmtid="{D5CDD505-2E9C-101B-9397-08002B2CF9AE}" pid="6" name="BusinessArea">
    <vt:lpwstr/>
  </property>
  <property fmtid="{D5CDD505-2E9C-101B-9397-08002B2CF9AE}" pid="7" name="AgressoCustomer">
    <vt:lpwstr/>
  </property>
  <property fmtid="{D5CDD505-2E9C-101B-9397-08002B2CF9AE}" pid="8" name="R-DivisionPolicy">
    <vt:lpwstr/>
  </property>
  <property fmtid="{D5CDD505-2E9C-101B-9397-08002B2CF9AE}" pid="9" name="R-Keywords">
    <vt:lpwstr/>
  </property>
  <property fmtid="{D5CDD505-2E9C-101B-9397-08002B2CF9AE}" pid="10" name="Market Sector">
    <vt:lpwstr/>
  </property>
  <property fmtid="{D5CDD505-2E9C-101B-9397-08002B2CF9AE}" pid="11" name="R-Division">
    <vt:lpwstr/>
  </property>
  <property fmtid="{D5CDD505-2E9C-101B-9397-08002B2CF9AE}" pid="12" name="Document Type">
    <vt:lpwstr>1;#Project Document|df098213-6b74-42fc-9316-2f1a9531d8f9</vt:lpwstr>
  </property>
  <property fmtid="{D5CDD505-2E9C-101B-9397-08002B2CF9AE}" pid="13" name="Order">
    <vt:r8>2200</vt:r8>
  </property>
</Properties>
</file>