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6.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omments11.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theermgroup.sharepoint.com/sites/E4Tech-DocumentCo-AuthoringCentre/E4tech Consulting/Projects/Current/DfT-AdvancedFuelsFund-Delivery/Design Phase Documents/AFF final docs 18.07.2022 plus updated Guidance/"/>
    </mc:Choice>
  </mc:AlternateContent>
  <xr:revisionPtr revIDLastSave="335" documentId="13_ncr:1_{4E30ABAA-DFF4-4A1D-BC41-11E5293679C0}" xr6:coauthVersionLast="47" xr6:coauthVersionMax="47" xr10:uidLastSave="{475396A0-7318-4479-AF89-A5138486F4DE}"/>
  <bookViews>
    <workbookView xWindow="-108" yWindow="-108" windowWidth="23256" windowHeight="12576" tabRatio="857" xr2:uid="{00000000-000D-0000-FFFF-FFFF00000000}"/>
  </bookViews>
  <sheets>
    <sheet name="Guidance" sheetId="14" r:id="rId1"/>
    <sheet name="Units" sheetId="7" r:id="rId2"/>
    <sheet name="Assumptions" sheetId="25" r:id="rId3"/>
    <sheet name="Summary" sheetId="24" r:id="rId4"/>
    <sheet name="System Boundary" sheetId="8" r:id="rId5"/>
    <sheet name="Additional evidence" sheetId="27" r:id="rId6"/>
    <sheet name="RCF counterfactual" sheetId="28" r:id="rId7"/>
    <sheet name="Feedstock collection" sheetId="15" r:id="rId8"/>
    <sheet name="Feedstock transport" sheetId="4" r:id="rId9"/>
    <sheet name="Pre-processing" sheetId="16" r:id="rId10"/>
    <sheet name="Intermediate transport" sheetId="17" r:id="rId11"/>
    <sheet name="Conversion" sheetId="9" r:id="rId12"/>
    <sheet name="Further transport" sheetId="18" r:id="rId13"/>
    <sheet name="Upgrading" sheetId="19" r:id="rId14"/>
    <sheet name="Fuel distribution 1" sheetId="20" r:id="rId15"/>
    <sheet name="Fuel storage" sheetId="21" r:id="rId16"/>
    <sheet name="Fuel distribution 2" sheetId="22" r:id="rId17"/>
    <sheet name="Refuelling" sheetId="23" r:id="rId18"/>
  </sheets>
  <externalReferences>
    <externalReference r:id="rId19"/>
  </externalReferences>
  <definedNames>
    <definedName name="___thinkcellH0MAAAAAAAAAAAAA7dNG6tch00eipRX895PDVA" localSheetId="6" hidden="1">#REF!</definedName>
    <definedName name="___thinkcellH0MAAAAAAAAAAAAA7dNG6tch00eipRX895PDVA" hidden="1">#REF!</definedName>
    <definedName name="__1234Graph_A" localSheetId="6" hidden="1">[1]Depreciation!#REF!</definedName>
    <definedName name="__1234Graph_A" hidden="1">[1]Depreciation!#REF!</definedName>
    <definedName name="__123Graph_A" localSheetId="6" hidden="1">[1]Depreciation!#REF!</definedName>
    <definedName name="__123Graph_A" hidden="1">[1]Depreciation!#REF!</definedName>
    <definedName name="__123Graph_B" localSheetId="6" hidden="1">[1]Depreciation!#REF!</definedName>
    <definedName name="__123Graph_B" hidden="1">[1]Depreciation!#REF!</definedName>
    <definedName name="__123Graph_C" localSheetId="6" hidden="1">[1]Depreciation!#REF!</definedName>
    <definedName name="__123Graph_C" hidden="1">[1]Depreciation!#REF!</definedName>
    <definedName name="__123Graph_D" localSheetId="6" hidden="1">[1]Depreciation!#REF!</definedName>
    <definedName name="__123Graph_D" hidden="1">[1]Depreciation!#REF!</definedName>
    <definedName name="__123Graph_E" localSheetId="6" hidden="1">[1]Depreciation!#REF!</definedName>
    <definedName name="__123Graph_E" hidden="1">[1]Depreciation!#REF!</definedName>
    <definedName name="__123Graph_F" localSheetId="6" hidden="1">[1]Depreciation!#REF!</definedName>
    <definedName name="__123Graph_F" hidden="1">[1]Depreciation!#REF!</definedName>
    <definedName name="__123Graph_X" localSheetId="6" hidden="1">[1]Depreciation!#REF!</definedName>
    <definedName name="__123Graph_X" hidden="1">[1]Depreciation!#REF!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_Table1_In1" hidden="1">#REF!</definedName>
    <definedName name="_Table1_Out" hidden="1">#REF!</definedName>
    <definedName name="aadsds"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adsds"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nscount" hidden="1">1</definedName>
    <definedName name="bbl_to_USgal">Units!$C$25</definedName>
    <definedName name="CBWorkbookPriority" hidden="1">-1631513760</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39343.6573842593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Wh_to_MJ">Units!$C$8</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b_inputLocation" localSheetId="6" hidden="1">#REF!</definedName>
    <definedName name="mb_inputLocation" hidden="1">#REF!</definedName>
    <definedName name="RiskAfterRecalcMacro" hidden="1">"BetweenIterationsMacro"</definedName>
    <definedName name="RiskAfterSimMacro" hidden="1">""</definedName>
    <definedName name="RiskBeforeRecalcMacro" hidden="1">""</definedName>
    <definedName name="RiskBeforeSimMacro" hidden="1">""</definedName>
    <definedName name="RiskCollectDistributionSamples" hidden="1">1</definedName>
    <definedName name="RiskFixedSeed" hidden="1">2009000</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FALSE</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My._.estimate._.report." localSheetId="6" hidden="1">{"Equipment",#N/A,FALSE,"A";"Summary",#N/A,FALSE,"B"}</definedName>
    <definedName name="wrn.My._.estimate._.report." localSheetId="1" hidden="1">{"Equipment",#N/A,FALSE,"A";"Summary",#N/A,FALSE,"B"}</definedName>
    <definedName name="wrn.My._.estimate._.report." hidden="1">{"Equipment",#N/A,FALSE,"A";"Summary",#N/A,FALSE,"B"}</definedName>
    <definedName name="Yes_No">Units!$B$89:$B$90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24" l="1"/>
  <c r="J14" i="24"/>
  <c r="J13" i="24"/>
  <c r="J12" i="24"/>
  <c r="J11" i="24"/>
  <c r="J10" i="24"/>
  <c r="J9" i="24"/>
  <c r="J8" i="24"/>
  <c r="J7" i="24"/>
  <c r="J6" i="24"/>
  <c r="J5" i="24"/>
  <c r="J4" i="24"/>
  <c r="D8" i="24"/>
  <c r="H8" i="24"/>
  <c r="D14" i="24"/>
  <c r="H14" i="24"/>
  <c r="F8" i="24"/>
  <c r="F6" i="24"/>
  <c r="D6" i="24"/>
  <c r="H6" i="24"/>
  <c r="F14" i="24"/>
  <c r="F13" i="24"/>
  <c r="F12" i="24"/>
  <c r="F11" i="24"/>
  <c r="F10" i="24"/>
  <c r="F9" i="24"/>
  <c r="F7" i="24"/>
  <c r="F5" i="24"/>
  <c r="F4" i="24"/>
  <c r="D4" i="24"/>
  <c r="H13" i="24"/>
  <c r="H12" i="24"/>
  <c r="H11" i="24"/>
  <c r="H10" i="24"/>
  <c r="H9" i="24"/>
  <c r="H7" i="24"/>
  <c r="H5" i="24"/>
  <c r="H4" i="24"/>
  <c r="D5" i="24"/>
  <c r="D7" i="24"/>
  <c r="D9" i="24"/>
  <c r="D10" i="24"/>
  <c r="D11" i="24"/>
  <c r="D12" i="24"/>
  <c r="D13" i="24"/>
  <c r="C3" i="24"/>
  <c r="Q14" i="23"/>
  <c r="P14" i="23"/>
  <c r="Q13" i="23"/>
  <c r="P13" i="23"/>
  <c r="Q12" i="23"/>
  <c r="P12" i="23"/>
  <c r="Q11" i="23"/>
  <c r="P11" i="23"/>
  <c r="Q10" i="23"/>
  <c r="P10" i="23"/>
  <c r="Q9" i="23"/>
  <c r="P9" i="23"/>
  <c r="Q8" i="23"/>
  <c r="P8" i="23"/>
  <c r="Q7" i="23"/>
  <c r="P7" i="23"/>
  <c r="Q6" i="23"/>
  <c r="P6" i="23"/>
  <c r="Q5" i="23"/>
  <c r="P5" i="23"/>
  <c r="Q14" i="22"/>
  <c r="P14" i="22"/>
  <c r="Q13" i="22"/>
  <c r="P13" i="22"/>
  <c r="Q12" i="22"/>
  <c r="P12" i="22"/>
  <c r="Q11" i="22"/>
  <c r="P11" i="22"/>
  <c r="Q10" i="22"/>
  <c r="P10" i="22"/>
  <c r="Q9" i="22"/>
  <c r="P9" i="22"/>
  <c r="Q8" i="22"/>
  <c r="P8" i="22"/>
  <c r="Q7" i="22"/>
  <c r="P7" i="22"/>
  <c r="Q6" i="22"/>
  <c r="P6" i="22"/>
  <c r="Q5" i="22"/>
  <c r="P5" i="22"/>
  <c r="Q14" i="21"/>
  <c r="P14" i="21"/>
  <c r="Q13" i="21"/>
  <c r="P13" i="21"/>
  <c r="Q12" i="21"/>
  <c r="P12" i="21"/>
  <c r="Q11" i="21"/>
  <c r="P11" i="21"/>
  <c r="Q10" i="21"/>
  <c r="P10" i="21"/>
  <c r="Q9" i="21"/>
  <c r="P9" i="21"/>
  <c r="Q8" i="21"/>
  <c r="P8" i="21"/>
  <c r="Q7" i="21"/>
  <c r="P7" i="21"/>
  <c r="Q6" i="21"/>
  <c r="P6" i="21"/>
  <c r="Q5" i="21"/>
  <c r="P5" i="21"/>
  <c r="Q14" i="20"/>
  <c r="P14" i="20"/>
  <c r="Q13" i="20"/>
  <c r="P13" i="20"/>
  <c r="Q12" i="20"/>
  <c r="P12" i="20"/>
  <c r="Q11" i="20"/>
  <c r="P11" i="20"/>
  <c r="Q10" i="20"/>
  <c r="P10" i="20"/>
  <c r="Q9" i="20"/>
  <c r="P9" i="20"/>
  <c r="Q8" i="20"/>
  <c r="P8" i="20"/>
  <c r="Q7" i="20"/>
  <c r="P7" i="20"/>
  <c r="Q6" i="20"/>
  <c r="P6" i="20"/>
  <c r="Q5" i="20"/>
  <c r="P5" i="20"/>
  <c r="Q14" i="19"/>
  <c r="P14" i="19"/>
  <c r="Q13" i="19"/>
  <c r="P13" i="19"/>
  <c r="Q12" i="19"/>
  <c r="P12" i="19"/>
  <c r="Q11" i="19"/>
  <c r="P11" i="19"/>
  <c r="Q10" i="19"/>
  <c r="P10" i="19"/>
  <c r="Q9" i="19"/>
  <c r="P9" i="19"/>
  <c r="Q8" i="19"/>
  <c r="P8" i="19"/>
  <c r="Q7" i="19"/>
  <c r="P7" i="19"/>
  <c r="Q6" i="19"/>
  <c r="P6" i="19"/>
  <c r="Q5" i="19"/>
  <c r="P5" i="19"/>
  <c r="Q14" i="18"/>
  <c r="P14" i="18"/>
  <c r="Q13" i="18"/>
  <c r="P13" i="18"/>
  <c r="Q12" i="18"/>
  <c r="P12" i="18"/>
  <c r="Q11" i="18"/>
  <c r="P11" i="18"/>
  <c r="Q10" i="18"/>
  <c r="P10" i="18"/>
  <c r="Q9" i="18"/>
  <c r="P9" i="18"/>
  <c r="Q8" i="18"/>
  <c r="P8" i="18"/>
  <c r="Q7" i="18"/>
  <c r="P7" i="18"/>
  <c r="Q6" i="18"/>
  <c r="P6" i="18"/>
  <c r="Q5" i="18"/>
  <c r="P5" i="18"/>
  <c r="Q14" i="9"/>
  <c r="P14" i="9"/>
  <c r="Q13" i="9"/>
  <c r="P13" i="9"/>
  <c r="Q12" i="9"/>
  <c r="P12" i="9"/>
  <c r="Q11" i="9"/>
  <c r="P11" i="9"/>
  <c r="Q10" i="9"/>
  <c r="P10" i="9"/>
  <c r="Q9" i="9"/>
  <c r="P9" i="9"/>
  <c r="Q8" i="9"/>
  <c r="P8" i="9"/>
  <c r="Q7" i="9"/>
  <c r="P7" i="9"/>
  <c r="Q6" i="9"/>
  <c r="P6" i="9"/>
  <c r="Q5" i="9"/>
  <c r="P5" i="9"/>
  <c r="Q14" i="17"/>
  <c r="P14" i="17"/>
  <c r="Q13" i="17"/>
  <c r="P13" i="17"/>
  <c r="Q12" i="17"/>
  <c r="P12" i="17"/>
  <c r="Q11" i="17"/>
  <c r="P11" i="17"/>
  <c r="Q10" i="17"/>
  <c r="P10" i="17"/>
  <c r="Q9" i="17"/>
  <c r="P9" i="17"/>
  <c r="Q8" i="17"/>
  <c r="P8" i="17"/>
  <c r="Q7" i="17"/>
  <c r="P7" i="17"/>
  <c r="Q6" i="17"/>
  <c r="P6" i="17"/>
  <c r="Q5" i="17"/>
  <c r="P5" i="17"/>
  <c r="Q14" i="15"/>
  <c r="P14" i="15"/>
  <c r="Q13" i="15"/>
  <c r="P13" i="15"/>
  <c r="Q12" i="15"/>
  <c r="P12" i="15"/>
  <c r="Q11" i="15"/>
  <c r="P11" i="15"/>
  <c r="Q10" i="15"/>
  <c r="P10" i="15"/>
  <c r="Q9" i="15"/>
  <c r="P9" i="15"/>
  <c r="Q8" i="15"/>
  <c r="P8" i="15"/>
  <c r="Q7" i="15"/>
  <c r="P7" i="15"/>
  <c r="Q6" i="15"/>
  <c r="P6" i="15"/>
  <c r="Q14" i="4"/>
  <c r="P14" i="4"/>
  <c r="Q13" i="4"/>
  <c r="P13" i="4"/>
  <c r="Q12" i="4"/>
  <c r="P12" i="4"/>
  <c r="Q11" i="4"/>
  <c r="P11" i="4"/>
  <c r="Q10" i="4"/>
  <c r="P10" i="4"/>
  <c r="Q9" i="4"/>
  <c r="P9" i="4"/>
  <c r="Q8" i="4"/>
  <c r="P8" i="4"/>
  <c r="Q7" i="4"/>
  <c r="P7" i="4"/>
  <c r="Q6" i="4"/>
  <c r="P6" i="4"/>
  <c r="Q5" i="4"/>
  <c r="P5" i="4"/>
  <c r="P6" i="16"/>
  <c r="Q6" i="16"/>
  <c r="P7" i="16"/>
  <c r="Q7" i="16"/>
  <c r="P8" i="16"/>
  <c r="Q8" i="16"/>
  <c r="P9" i="16"/>
  <c r="Q9" i="16"/>
  <c r="P10" i="16"/>
  <c r="Q10" i="16"/>
  <c r="P11" i="16"/>
  <c r="Q11" i="16"/>
  <c r="P12" i="16"/>
  <c r="Q12" i="16"/>
  <c r="P13" i="16"/>
  <c r="Q13" i="16"/>
  <c r="P14" i="16"/>
  <c r="Q14" i="16"/>
  <c r="Q5" i="16"/>
  <c r="P5" i="16"/>
  <c r="L30" i="16"/>
  <c r="L31" i="16"/>
  <c r="L32" i="16"/>
  <c r="L33" i="16"/>
  <c r="L25" i="16"/>
  <c r="L26" i="16"/>
  <c r="S26" i="16"/>
  <c r="L5" i="16"/>
  <c r="L6" i="16"/>
  <c r="L7" i="16"/>
  <c r="L8" i="16"/>
  <c r="L9" i="16"/>
  <c r="L10" i="16"/>
  <c r="L11" i="16"/>
  <c r="L12" i="16"/>
  <c r="L13" i="16"/>
  <c r="L14" i="16"/>
  <c r="L17" i="16"/>
  <c r="L18" i="16"/>
  <c r="L19" i="16"/>
  <c r="L20" i="16"/>
  <c r="L21" i="16"/>
  <c r="L22" i="16"/>
  <c r="L23" i="16"/>
  <c r="L24" i="16"/>
  <c r="L27" i="16"/>
  <c r="L28" i="16"/>
  <c r="L29" i="16"/>
  <c r="L33" i="23"/>
  <c r="L32" i="23"/>
  <c r="L31" i="23"/>
  <c r="L30" i="23"/>
  <c r="L29" i="23"/>
  <c r="L28" i="23"/>
  <c r="L27" i="23"/>
  <c r="L26" i="23"/>
  <c r="L25" i="23"/>
  <c r="L24" i="23"/>
  <c r="L23" i="23"/>
  <c r="L22" i="23"/>
  <c r="L21" i="23"/>
  <c r="L20" i="23"/>
  <c r="L19" i="23"/>
  <c r="L18" i="23"/>
  <c r="L17" i="23"/>
  <c r="S14" i="23" s="1"/>
  <c r="L14" i="23"/>
  <c r="L13" i="23"/>
  <c r="L12" i="23"/>
  <c r="L11" i="23"/>
  <c r="L10" i="23"/>
  <c r="L9" i="23"/>
  <c r="L8" i="23"/>
  <c r="L7" i="23"/>
  <c r="L6" i="23"/>
  <c r="L5" i="23"/>
  <c r="L33" i="22"/>
  <c r="L32" i="22"/>
  <c r="L31" i="22"/>
  <c r="L30" i="22"/>
  <c r="L29" i="22"/>
  <c r="L28" i="22"/>
  <c r="S27" i="22"/>
  <c r="L27" i="22"/>
  <c r="L26" i="22"/>
  <c r="L25" i="22"/>
  <c r="L24" i="22"/>
  <c r="L23" i="22"/>
  <c r="L22" i="22"/>
  <c r="L21" i="22"/>
  <c r="L20" i="22"/>
  <c r="L19" i="22"/>
  <c r="O19" i="22" s="1"/>
  <c r="L18" i="22"/>
  <c r="O18" i="22" s="1"/>
  <c r="O17" i="22"/>
  <c r="L17" i="22"/>
  <c r="S14" i="22" s="1"/>
  <c r="L14" i="22"/>
  <c r="L13" i="22"/>
  <c r="L12" i="22"/>
  <c r="L11" i="22"/>
  <c r="L10" i="22"/>
  <c r="L9" i="22"/>
  <c r="L8" i="22"/>
  <c r="L7" i="22"/>
  <c r="L6" i="22"/>
  <c r="L5" i="22"/>
  <c r="L33" i="21"/>
  <c r="L32" i="21"/>
  <c r="L31" i="21"/>
  <c r="L30" i="21"/>
  <c r="L29" i="21"/>
  <c r="L28" i="21"/>
  <c r="L27" i="21"/>
  <c r="S26" i="21"/>
  <c r="L26" i="21"/>
  <c r="L25" i="21"/>
  <c r="L24" i="21"/>
  <c r="L23" i="21"/>
  <c r="L22" i="21"/>
  <c r="L21" i="21"/>
  <c r="L20" i="21"/>
  <c r="L19" i="21"/>
  <c r="O19" i="21" s="1"/>
  <c r="L18" i="21"/>
  <c r="L17" i="21"/>
  <c r="S14" i="21" s="1"/>
  <c r="L14" i="21"/>
  <c r="L13" i="21"/>
  <c r="L12" i="21"/>
  <c r="L11" i="21"/>
  <c r="L10" i="21"/>
  <c r="L9" i="21"/>
  <c r="L8" i="21"/>
  <c r="L7" i="21"/>
  <c r="L6" i="21"/>
  <c r="L5" i="21"/>
  <c r="L33" i="20"/>
  <c r="L32" i="20"/>
  <c r="L31" i="20"/>
  <c r="S30" i="20"/>
  <c r="L30" i="20"/>
  <c r="L29" i="20"/>
  <c r="L28" i="20"/>
  <c r="L27" i="20"/>
  <c r="L26" i="20"/>
  <c r="L25" i="20"/>
  <c r="L24" i="20"/>
  <c r="L23" i="20"/>
  <c r="L22" i="20"/>
  <c r="L21" i="20"/>
  <c r="L20" i="20"/>
  <c r="L19" i="20"/>
  <c r="L18" i="20"/>
  <c r="L17" i="20"/>
  <c r="S14" i="20" s="1"/>
  <c r="L14" i="20"/>
  <c r="L13" i="20"/>
  <c r="L12" i="20"/>
  <c r="L11" i="20"/>
  <c r="L10" i="20"/>
  <c r="L9" i="20"/>
  <c r="L8" i="20"/>
  <c r="L7" i="20"/>
  <c r="L6" i="20"/>
  <c r="L5" i="20"/>
  <c r="L33" i="19"/>
  <c r="L32" i="19"/>
  <c r="L31" i="19"/>
  <c r="L30" i="19"/>
  <c r="L29" i="19"/>
  <c r="L28" i="19"/>
  <c r="L27" i="19"/>
  <c r="S26" i="19"/>
  <c r="L26" i="19"/>
  <c r="L25" i="19"/>
  <c r="L24" i="19"/>
  <c r="L23" i="19"/>
  <c r="L22" i="19"/>
  <c r="L21" i="19"/>
  <c r="L20" i="19"/>
  <c r="L19" i="19"/>
  <c r="L18" i="19"/>
  <c r="L17" i="19"/>
  <c r="S14" i="19" s="1"/>
  <c r="L14" i="19"/>
  <c r="L13" i="19"/>
  <c r="L12" i="19"/>
  <c r="L11" i="19"/>
  <c r="L10" i="19"/>
  <c r="L9" i="19"/>
  <c r="L8" i="19"/>
  <c r="L7" i="19"/>
  <c r="L6" i="19"/>
  <c r="L5" i="19"/>
  <c r="L33" i="18"/>
  <c r="L32" i="18"/>
  <c r="L31" i="18"/>
  <c r="L30" i="18"/>
  <c r="L29" i="18"/>
  <c r="L28" i="18"/>
  <c r="L27" i="18"/>
  <c r="L26" i="18"/>
  <c r="L25" i="18"/>
  <c r="L24" i="18"/>
  <c r="L23" i="18"/>
  <c r="L22" i="18"/>
  <c r="L21" i="18"/>
  <c r="L20" i="18"/>
  <c r="L19" i="18"/>
  <c r="L18" i="18"/>
  <c r="L17" i="18"/>
  <c r="L14" i="18"/>
  <c r="L13" i="18"/>
  <c r="L12" i="18"/>
  <c r="L11" i="18"/>
  <c r="L10" i="18"/>
  <c r="L9" i="18"/>
  <c r="L8" i="18"/>
  <c r="L7" i="18"/>
  <c r="L6" i="18"/>
  <c r="L5" i="18"/>
  <c r="L33" i="9"/>
  <c r="L32" i="9"/>
  <c r="L31" i="9"/>
  <c r="L30" i="9"/>
  <c r="L29" i="9"/>
  <c r="L28" i="9"/>
  <c r="L27" i="9"/>
  <c r="S26" i="9"/>
  <c r="L26" i="9"/>
  <c r="L25" i="9"/>
  <c r="L24" i="9"/>
  <c r="L23" i="9"/>
  <c r="L22" i="9"/>
  <c r="L21" i="9"/>
  <c r="L20" i="9"/>
  <c r="L19" i="9"/>
  <c r="L18" i="9"/>
  <c r="L17" i="9"/>
  <c r="L14" i="9"/>
  <c r="L13" i="9"/>
  <c r="L12" i="9"/>
  <c r="L11" i="9"/>
  <c r="L10" i="9"/>
  <c r="L9" i="9"/>
  <c r="L8" i="9"/>
  <c r="L7" i="9"/>
  <c r="L6" i="9"/>
  <c r="L5" i="9"/>
  <c r="L33" i="17"/>
  <c r="L32" i="17"/>
  <c r="L31" i="17"/>
  <c r="L30" i="17"/>
  <c r="L29" i="17"/>
  <c r="L28" i="17"/>
  <c r="L27" i="17"/>
  <c r="L26" i="17"/>
  <c r="L25" i="17"/>
  <c r="L24" i="17"/>
  <c r="L23" i="17"/>
  <c r="L22" i="17"/>
  <c r="L21" i="17"/>
  <c r="L20" i="17"/>
  <c r="L19" i="17"/>
  <c r="L18" i="17"/>
  <c r="L17" i="17"/>
  <c r="S14" i="17" s="1"/>
  <c r="L14" i="17"/>
  <c r="L13" i="17"/>
  <c r="L12" i="17"/>
  <c r="L11" i="17"/>
  <c r="L10" i="17"/>
  <c r="L9" i="17"/>
  <c r="L8" i="17"/>
  <c r="L7" i="17"/>
  <c r="L6" i="17"/>
  <c r="L5" i="17"/>
  <c r="L33" i="4"/>
  <c r="L32" i="4"/>
  <c r="L31" i="4"/>
  <c r="L30" i="4"/>
  <c r="L29" i="4"/>
  <c r="L28" i="4"/>
  <c r="L27" i="4"/>
  <c r="L26" i="4"/>
  <c r="L25" i="4"/>
  <c r="L24" i="4"/>
  <c r="L23" i="4"/>
  <c r="L22" i="4"/>
  <c r="L21" i="4"/>
  <c r="L20" i="4"/>
  <c r="L19" i="4"/>
  <c r="L18" i="4"/>
  <c r="L17" i="4"/>
  <c r="S14" i="4" s="1"/>
  <c r="L14" i="4"/>
  <c r="L13" i="4"/>
  <c r="L12" i="4"/>
  <c r="L11" i="4"/>
  <c r="L10" i="4"/>
  <c r="L9" i="4"/>
  <c r="L8" i="4"/>
  <c r="L7" i="4"/>
  <c r="L6" i="4"/>
  <c r="L5" i="4"/>
  <c r="L29" i="15"/>
  <c r="L30" i="15"/>
  <c r="L31" i="15"/>
  <c r="L32" i="15"/>
  <c r="L33" i="15"/>
  <c r="S14" i="18" l="1"/>
  <c r="S14" i="9"/>
  <c r="S5" i="16"/>
  <c r="S25" i="16"/>
  <c r="O18" i="16"/>
  <c r="S30" i="16"/>
  <c r="S8" i="16"/>
  <c r="O18" i="17"/>
  <c r="O19" i="18"/>
  <c r="S26" i="18"/>
  <c r="S26" i="23"/>
  <c r="S28" i="16"/>
  <c r="S30" i="19"/>
  <c r="S26" i="20"/>
  <c r="S31" i="22"/>
  <c r="S32" i="16"/>
  <c r="S12" i="16"/>
  <c r="O18" i="18"/>
  <c r="S31" i="16"/>
  <c r="S27" i="16"/>
  <c r="O17" i="16"/>
  <c r="N17" i="16"/>
  <c r="S11" i="16"/>
  <c r="S7" i="16"/>
  <c r="S14" i="16"/>
  <c r="S10" i="16"/>
  <c r="S6" i="16"/>
  <c r="O19" i="16"/>
  <c r="S33" i="16"/>
  <c r="S29" i="16"/>
  <c r="S13" i="16"/>
  <c r="S9" i="16"/>
  <c r="S7" i="23"/>
  <c r="S11" i="23"/>
  <c r="N17" i="23"/>
  <c r="S30" i="23"/>
  <c r="O17" i="23"/>
  <c r="S27" i="23"/>
  <c r="S31" i="23"/>
  <c r="S8" i="23"/>
  <c r="S12" i="23"/>
  <c r="O18" i="23"/>
  <c r="S24" i="23"/>
  <c r="S28" i="23"/>
  <c r="S32" i="23"/>
  <c r="S5" i="23"/>
  <c r="S9" i="23"/>
  <c r="S13" i="23"/>
  <c r="O19" i="23"/>
  <c r="S25" i="23"/>
  <c r="S29" i="23"/>
  <c r="S33" i="23"/>
  <c r="S6" i="23"/>
  <c r="S10" i="23"/>
  <c r="S26" i="22"/>
  <c r="S30" i="22"/>
  <c r="S7" i="22"/>
  <c r="S11" i="22"/>
  <c r="N17" i="22"/>
  <c r="S12" i="22"/>
  <c r="S24" i="22"/>
  <c r="S28" i="22"/>
  <c r="S32" i="22"/>
  <c r="S8" i="22"/>
  <c r="S5" i="22"/>
  <c r="S9" i="22"/>
  <c r="S13" i="22"/>
  <c r="S25" i="22"/>
  <c r="S29" i="22"/>
  <c r="S33" i="22"/>
  <c r="S6" i="22"/>
  <c r="S10" i="22"/>
  <c r="S30" i="21"/>
  <c r="S7" i="21"/>
  <c r="S11" i="21"/>
  <c r="N17" i="21"/>
  <c r="O17" i="21"/>
  <c r="S27" i="21"/>
  <c r="S31" i="21"/>
  <c r="S8" i="21"/>
  <c r="S12" i="21"/>
  <c r="O18" i="21"/>
  <c r="S24" i="21"/>
  <c r="S28" i="21"/>
  <c r="S32" i="21"/>
  <c r="S5" i="21"/>
  <c r="S9" i="21"/>
  <c r="S13" i="21"/>
  <c r="S25" i="21"/>
  <c r="S29" i="21"/>
  <c r="S33" i="21"/>
  <c r="S6" i="21"/>
  <c r="S10" i="21"/>
  <c r="O17" i="20"/>
  <c r="S27" i="20"/>
  <c r="S31" i="20"/>
  <c r="S8" i="20"/>
  <c r="S12" i="20"/>
  <c r="O18" i="20"/>
  <c r="S24" i="20"/>
  <c r="S28" i="20"/>
  <c r="S32" i="20"/>
  <c r="N17" i="20"/>
  <c r="S5" i="20"/>
  <c r="S9" i="20"/>
  <c r="S13" i="20"/>
  <c r="S11" i="20"/>
  <c r="O19" i="20"/>
  <c r="S25" i="20"/>
  <c r="S29" i="20"/>
  <c r="S33" i="20"/>
  <c r="S7" i="20"/>
  <c r="S6" i="20"/>
  <c r="S10" i="20"/>
  <c r="S7" i="19"/>
  <c r="S11" i="19"/>
  <c r="N17" i="19"/>
  <c r="O17" i="19"/>
  <c r="S27" i="19"/>
  <c r="S31" i="19"/>
  <c r="S8" i="19"/>
  <c r="S12" i="19"/>
  <c r="O18" i="19"/>
  <c r="S28" i="19"/>
  <c r="S32" i="19"/>
  <c r="S5" i="19"/>
  <c r="S9" i="19"/>
  <c r="S13" i="19"/>
  <c r="O19" i="19"/>
  <c r="S25" i="19"/>
  <c r="S29" i="19"/>
  <c r="S33" i="19"/>
  <c r="S6" i="19"/>
  <c r="S10" i="19"/>
  <c r="S30" i="18"/>
  <c r="S7" i="18"/>
  <c r="S11" i="18"/>
  <c r="N17" i="18"/>
  <c r="O17" i="18"/>
  <c r="S27" i="18"/>
  <c r="S31" i="18"/>
  <c r="S8" i="18"/>
  <c r="S12" i="18"/>
  <c r="S24" i="18"/>
  <c r="S28" i="18"/>
  <c r="S32" i="18"/>
  <c r="S5" i="18"/>
  <c r="S9" i="18"/>
  <c r="S13" i="18"/>
  <c r="S25" i="18"/>
  <c r="S29" i="18"/>
  <c r="S33" i="18"/>
  <c r="S6" i="18"/>
  <c r="S10" i="18"/>
  <c r="S30" i="9"/>
  <c r="S7" i="9"/>
  <c r="S11" i="9"/>
  <c r="N17" i="9"/>
  <c r="O17" i="9"/>
  <c r="S27" i="9"/>
  <c r="S31" i="9"/>
  <c r="S8" i="9"/>
  <c r="S12" i="9"/>
  <c r="O18" i="9"/>
  <c r="S28" i="9"/>
  <c r="S32" i="9"/>
  <c r="S5" i="9"/>
  <c r="S9" i="9"/>
  <c r="S13" i="9"/>
  <c r="O19" i="9"/>
  <c r="S25" i="9"/>
  <c r="S29" i="9"/>
  <c r="S33" i="9"/>
  <c r="S6" i="9"/>
  <c r="S10" i="9"/>
  <c r="S7" i="17"/>
  <c r="N17" i="17"/>
  <c r="S31" i="17"/>
  <c r="S24" i="17"/>
  <c r="S28" i="17"/>
  <c r="S32" i="17"/>
  <c r="S11" i="17"/>
  <c r="O17" i="17"/>
  <c r="S8" i="17"/>
  <c r="S5" i="17"/>
  <c r="S9" i="17"/>
  <c r="S13" i="17"/>
  <c r="S26" i="17"/>
  <c r="S27" i="17"/>
  <c r="O19" i="17"/>
  <c r="S25" i="17"/>
  <c r="S29" i="17"/>
  <c r="S33" i="17"/>
  <c r="S30" i="17"/>
  <c r="S12" i="17"/>
  <c r="S6" i="17"/>
  <c r="S10" i="17"/>
  <c r="S30" i="4"/>
  <c r="S7" i="4"/>
  <c r="S11" i="4"/>
  <c r="N17" i="4"/>
  <c r="S26" i="4"/>
  <c r="O17" i="4"/>
  <c r="S27" i="4"/>
  <c r="S31" i="4"/>
  <c r="S8" i="4"/>
  <c r="S12" i="4"/>
  <c r="O18" i="4"/>
  <c r="S24" i="4"/>
  <c r="S28" i="4"/>
  <c r="S32" i="4"/>
  <c r="S5" i="4"/>
  <c r="S9" i="4"/>
  <c r="S13" i="4"/>
  <c r="O19" i="4"/>
  <c r="S25" i="4"/>
  <c r="S29" i="4"/>
  <c r="S33" i="4"/>
  <c r="S6" i="4"/>
  <c r="S10" i="4"/>
  <c r="S35" i="16" l="1"/>
  <c r="S35" i="23"/>
  <c r="S35" i="22"/>
  <c r="S35" i="21"/>
  <c r="S35" i="20"/>
  <c r="S35" i="19"/>
  <c r="S35" i="18"/>
  <c r="S35" i="9"/>
  <c r="S35" i="17"/>
  <c r="S35" i="4"/>
  <c r="L28" i="15" l="1"/>
  <c r="L27" i="15"/>
  <c r="L26" i="15"/>
  <c r="L25" i="15"/>
  <c r="L24" i="15"/>
  <c r="L23" i="15"/>
  <c r="L22" i="15"/>
  <c r="L21" i="15"/>
  <c r="L20" i="15"/>
  <c r="L19" i="15"/>
  <c r="L18" i="15"/>
  <c r="L17" i="15"/>
  <c r="L6" i="15"/>
  <c r="L7" i="15"/>
  <c r="L8" i="15"/>
  <c r="L9" i="15"/>
  <c r="L10" i="15"/>
  <c r="L11" i="15"/>
  <c r="L12" i="15"/>
  <c r="L13" i="15"/>
  <c r="L14" i="15"/>
  <c r="L5" i="15"/>
  <c r="C18" i="28"/>
  <c r="C19" i="28"/>
  <c r="S31" i="15" l="1"/>
  <c r="S29" i="15"/>
  <c r="S32" i="15"/>
  <c r="S33" i="15"/>
  <c r="S30" i="15"/>
  <c r="N17" i="15"/>
  <c r="S9" i="15"/>
  <c r="S8" i="15"/>
  <c r="S10" i="15"/>
  <c r="S11" i="15"/>
  <c r="S24" i="15"/>
  <c r="S12" i="15"/>
  <c r="S25" i="15"/>
  <c r="S5" i="15"/>
  <c r="S13" i="15"/>
  <c r="S26" i="15"/>
  <c r="S6" i="15"/>
  <c r="S14" i="15"/>
  <c r="S27" i="15"/>
  <c r="S7" i="15"/>
  <c r="S28" i="15"/>
  <c r="S35" i="15" l="1"/>
  <c r="F4" i="25"/>
  <c r="G4" i="25" s="1"/>
  <c r="H4" i="25" s="1"/>
  <c r="I4" i="25" s="1"/>
  <c r="J4" i="25" s="1"/>
  <c r="K4" i="25" s="1"/>
  <c r="L4" i="25" s="1"/>
  <c r="M4" i="25" s="1"/>
  <c r="N4" i="25" s="1"/>
  <c r="O4" i="25" s="1"/>
  <c r="P4" i="25" s="1"/>
  <c r="Q4" i="25" s="1"/>
  <c r="R4" i="25" s="1"/>
  <c r="S4" i="25" s="1"/>
  <c r="T4" i="25" s="1"/>
  <c r="F15" i="25"/>
  <c r="G15" i="25" s="1"/>
  <c r="H15" i="25" s="1"/>
  <c r="I15" i="25" s="1"/>
  <c r="J15" i="25" s="1"/>
  <c r="K15" i="25" s="1"/>
  <c r="L15" i="25" s="1"/>
  <c r="M15" i="25" s="1"/>
  <c r="N15" i="25" s="1"/>
  <c r="O15" i="25" s="1"/>
  <c r="P15" i="25" s="1"/>
  <c r="Q15" i="25" s="1"/>
  <c r="R15" i="25" s="1"/>
  <c r="S15" i="25" s="1"/>
  <c r="T15" i="25" s="1"/>
  <c r="U15" i="25" s="1"/>
  <c r="V15" i="25" s="1"/>
  <c r="W15" i="25" s="1"/>
  <c r="X15" i="25" s="1"/>
  <c r="Y15" i="25" s="1"/>
  <c r="Z15" i="25" s="1"/>
  <c r="AA15" i="25" s="1"/>
  <c r="AB15" i="25" s="1"/>
  <c r="AC15" i="25" s="1"/>
  <c r="AD15" i="25" s="1"/>
  <c r="AE15" i="25" s="1"/>
  <c r="AF15" i="25" s="1"/>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F17" i="25"/>
  <c r="B3" i="24" l="1"/>
  <c r="J16" i="24"/>
  <c r="E13" i="24" l="1"/>
  <c r="I14" i="24"/>
  <c r="I13" i="24" l="1"/>
  <c r="I12" i="24" s="1"/>
  <c r="I11" i="24" s="1"/>
  <c r="I10" i="24" s="1"/>
  <c r="I9" i="24" s="1"/>
  <c r="E12" i="24"/>
  <c r="O19" i="15"/>
  <c r="O18" i="15"/>
  <c r="O17" i="15"/>
  <c r="E11" i="24" l="1"/>
  <c r="E10" i="24" s="1"/>
  <c r="E9" i="24" s="1"/>
  <c r="E8" i="24" s="1"/>
  <c r="E7" i="24" s="1"/>
  <c r="E6" i="24" l="1"/>
  <c r="G7" i="24"/>
  <c r="I8" i="24"/>
  <c r="I7" i="24" l="1"/>
  <c r="I6" i="24" s="1"/>
  <c r="I5" i="24" s="1"/>
  <c r="I4" i="24" s="1"/>
  <c r="I3" i="24" s="1"/>
  <c r="E5" i="24"/>
  <c r="G6" i="24"/>
  <c r="D15" i="24"/>
  <c r="C20" i="28" s="1"/>
  <c r="C17" i="28" s="1"/>
  <c r="G3" i="24" s="1"/>
  <c r="C45" i="7"/>
  <c r="C39" i="7"/>
  <c r="I38" i="7"/>
  <c r="H33" i="7"/>
  <c r="I33" i="7" s="1"/>
  <c r="G33" i="7"/>
  <c r="G38" i="7" s="1"/>
  <c r="F33" i="7"/>
  <c r="F38" i="7" s="1"/>
  <c r="E33" i="7"/>
  <c r="E38" i="7" s="1"/>
  <c r="D33" i="7"/>
  <c r="D36" i="7" s="1"/>
  <c r="F34" i="7" s="1"/>
  <c r="F27" i="7"/>
  <c r="D27" i="7"/>
  <c r="H26" i="7"/>
  <c r="F28" i="7" s="1"/>
  <c r="C26" i="7"/>
  <c r="H25" i="7"/>
  <c r="E28" i="7" s="1"/>
  <c r="D25" i="7"/>
  <c r="E24" i="7" s="1"/>
  <c r="H24" i="7"/>
  <c r="D28" i="7" s="1"/>
  <c r="C24" i="7"/>
  <c r="C28" i="7"/>
  <c r="E23" i="7"/>
  <c r="G18" i="7"/>
  <c r="F17" i="7"/>
  <c r="F18" i="7" s="1"/>
  <c r="E17" i="7"/>
  <c r="E18" i="7" s="1"/>
  <c r="D17" i="7"/>
  <c r="D18" i="7" s="1"/>
  <c r="C17" i="7"/>
  <c r="C18" i="7" s="1"/>
  <c r="H16" i="7"/>
  <c r="H15" i="7"/>
  <c r="D15" i="7"/>
  <c r="H14" i="7"/>
  <c r="H13" i="7"/>
  <c r="F13" i="7"/>
  <c r="C16" i="7" s="1"/>
  <c r="E13" i="7"/>
  <c r="C15" i="7" s="1"/>
  <c r="E8" i="7"/>
  <c r="G7" i="7"/>
  <c r="E7" i="7"/>
  <c r="C7" i="7"/>
  <c r="F6" i="7"/>
  <c r="D6" i="7"/>
  <c r="C6" i="7"/>
  <c r="G5" i="7"/>
  <c r="E5" i="7"/>
  <c r="C5" i="7"/>
  <c r="E4" i="7"/>
  <c r="E4" i="24" l="1"/>
  <c r="G5" i="24"/>
  <c r="E26" i="7"/>
  <c r="F25" i="7" s="1"/>
  <c r="E37" i="7"/>
  <c r="G35" i="7" s="1"/>
  <c r="H35" i="7"/>
  <c r="I35" i="7" s="1"/>
  <c r="E39" i="7"/>
  <c r="E16" i="7"/>
  <c r="D16" i="7"/>
  <c r="H36" i="7"/>
  <c r="I36" i="7" s="1"/>
  <c r="F39" i="7"/>
  <c r="H37" i="7"/>
  <c r="I37" i="7" s="1"/>
  <c r="G39" i="7"/>
  <c r="D26" i="7"/>
  <c r="F24" i="7" s="1"/>
  <c r="E36" i="7"/>
  <c r="F35" i="7" s="1"/>
  <c r="D37" i="7"/>
  <c r="G34" i="7" s="1"/>
  <c r="E27" i="7"/>
  <c r="D38" i="7"/>
  <c r="D35" i="7"/>
  <c r="E34" i="7" s="1"/>
  <c r="F37" i="7"/>
  <c r="G36" i="7" s="1"/>
  <c r="G4" i="24" l="1"/>
  <c r="D39" i="7"/>
  <c r="H34" i="7"/>
  <c r="I34" i="7" s="1"/>
  <c r="G11" i="24" l="1"/>
  <c r="G12" i="24"/>
  <c r="G9" i="24"/>
  <c r="G14" i="24"/>
  <c r="G10" i="24"/>
  <c r="G13" i="24"/>
  <c r="G8" i="24" l="1"/>
  <c r="J15"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Taylor</author>
  </authors>
  <commentList>
    <comment ref="B3" authorId="0" shapeId="0" xr:uid="{00000000-0006-0000-0200-000001000000}">
      <text>
        <r>
          <rPr>
            <b/>
            <sz val="9"/>
            <color indexed="81"/>
            <rFont val="Tahoma"/>
            <family val="2"/>
          </rPr>
          <t>Richard Taylor:</t>
        </r>
        <r>
          <rPr>
            <sz val="9"/>
            <color indexed="81"/>
            <rFont val="Tahoma"/>
            <family val="2"/>
          </rPr>
          <t xml:space="preserve">
multiply by the factor to get "From" "To"</t>
        </r>
      </text>
    </comment>
    <comment ref="B4" authorId="0" shapeId="0" xr:uid="{00000000-0006-0000-0200-000002000000}">
      <text>
        <r>
          <rPr>
            <b/>
            <sz val="9"/>
            <color indexed="81"/>
            <rFont val="Tahoma"/>
            <family val="2"/>
          </rPr>
          <t>Richard Taylor:</t>
        </r>
        <r>
          <rPr>
            <sz val="9"/>
            <color indexed="81"/>
            <rFont val="Tahoma"/>
            <family val="2"/>
          </rPr>
          <t xml:space="preserve">
1 Joule is the energy required to move 1 kg of mass through a distance of 1 meter with speed in meters per second increasing at the rate of 1 meter per second.</t>
        </r>
      </text>
    </comment>
    <comment ref="B7" authorId="0" shapeId="0" xr:uid="{00000000-0006-0000-0200-000003000000}">
      <text>
        <r>
          <rPr>
            <b/>
            <sz val="9"/>
            <color indexed="81"/>
            <rFont val="Tahoma"/>
            <family val="2"/>
          </rPr>
          <t>Richard Taylor:</t>
        </r>
        <r>
          <rPr>
            <sz val="9"/>
            <color indexed="81"/>
            <rFont val="Tahoma"/>
            <family val="2"/>
          </rPr>
          <t xml:space="preserve">
1 Btu or British thermal unit is the energy required to raise the temperature of a pound of water from 60 to 61 degrees Fahernheit. 1 Therm = 100,000 Btu</t>
        </r>
      </text>
    </comment>
    <comment ref="B12" authorId="0" shapeId="0" xr:uid="{00000000-0006-0000-0200-000005000000}">
      <text>
        <r>
          <rPr>
            <b/>
            <sz val="9"/>
            <color indexed="81"/>
            <rFont val="Tahoma"/>
            <family val="2"/>
          </rPr>
          <t>Richard Taylor:</t>
        </r>
        <r>
          <rPr>
            <sz val="9"/>
            <color indexed="81"/>
            <rFont val="Tahoma"/>
            <family val="2"/>
          </rPr>
          <t xml:space="preserve">
multiply by the factor to get "From" "To"</t>
        </r>
      </text>
    </comment>
    <comment ref="B22" authorId="0" shapeId="0" xr:uid="{00000000-0006-0000-0200-000006000000}">
      <text>
        <r>
          <rPr>
            <b/>
            <sz val="9"/>
            <color indexed="81"/>
            <rFont val="Tahoma"/>
            <family val="2"/>
          </rPr>
          <t>Richard Taylor:</t>
        </r>
        <r>
          <rPr>
            <sz val="9"/>
            <color indexed="81"/>
            <rFont val="Tahoma"/>
            <family val="2"/>
          </rPr>
          <t xml:space="preserve">
multiply by the factor to get "From" "To"</t>
        </r>
      </text>
    </comment>
    <comment ref="B32" authorId="0" shapeId="0" xr:uid="{00000000-0006-0000-0200-000007000000}">
      <text>
        <r>
          <rPr>
            <b/>
            <sz val="9"/>
            <color indexed="81"/>
            <rFont val="Tahoma"/>
            <family val="2"/>
          </rPr>
          <t>Richard Taylor:</t>
        </r>
        <r>
          <rPr>
            <sz val="9"/>
            <color indexed="81"/>
            <rFont val="Tahoma"/>
            <family val="2"/>
          </rPr>
          <t xml:space="preserve">
multiply by the factor to get "From" "To"</t>
        </r>
      </text>
    </comment>
    <comment ref="B43" authorId="0" shapeId="0" xr:uid="{00000000-0006-0000-0200-000008000000}">
      <text>
        <r>
          <rPr>
            <b/>
            <sz val="9"/>
            <color indexed="81"/>
            <rFont val="Tahoma"/>
            <family val="2"/>
          </rPr>
          <t>Richard Taylor:</t>
        </r>
        <r>
          <rPr>
            <sz val="9"/>
            <color indexed="81"/>
            <rFont val="Tahoma"/>
            <family val="2"/>
          </rPr>
          <t xml:space="preserve">
multiply by the factor to get "From" "To"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B31B86CB-F8AE-4259-A27A-E696760F98DB}">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FD973D92-B280-46A9-A847-9B9EDB5A04EA}">
      <text>
        <r>
          <rPr>
            <sz val="9"/>
            <color indexed="81"/>
            <rFont val="Tahoma"/>
            <family val="2"/>
          </rPr>
          <t>Recycle loops are not included in GHG calculations, as they do not cross the system boundary</t>
        </r>
      </text>
    </comment>
    <comment ref="J2" authorId="1" shapeId="0" xr:uid="{E4F096CF-291F-4B0C-98B8-34A2BB9D2CAD}">
      <text>
        <r>
          <rPr>
            <sz val="9"/>
            <color indexed="81"/>
            <rFont val="Tahoma"/>
            <family val="2"/>
          </rPr>
          <t>will be 0 for some inputs or outputs,  e.g. some chemicals will not have an LHV, or e.g. cold water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705C61C3-0EA7-4A02-8CE4-420E4E5F1F92}">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5782775E-FAC3-4FD6-9FA9-0E79715F0F23}">
      <text>
        <r>
          <rPr>
            <sz val="9"/>
            <color indexed="81"/>
            <rFont val="Tahoma"/>
            <family val="2"/>
          </rPr>
          <t>Recycle loops are not included in GHG calculations, as they do not cross the system boundary</t>
        </r>
      </text>
    </comment>
    <comment ref="J2" authorId="1" shapeId="0" xr:uid="{BEB36FC0-3EF1-4E1A-B69D-4208B3B85EC2}">
      <text>
        <r>
          <rPr>
            <sz val="9"/>
            <color indexed="81"/>
            <rFont val="Tahoma"/>
            <family val="2"/>
          </rPr>
          <t>will be 0 for some inputs or outputs,  e.g. some chemicals will not have an LHV, or e.g. cold water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BA4E7C56-A75B-4B3A-9A66-1B3FB59FD4DC}">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7B7D60AE-AD09-4EEE-BEF0-679B4A1715D4}">
      <text>
        <r>
          <rPr>
            <sz val="9"/>
            <color indexed="81"/>
            <rFont val="Tahoma"/>
            <family val="2"/>
          </rPr>
          <t>Recycle loops are not included in GHG calculations, as they do not cross the system boundary</t>
        </r>
      </text>
    </comment>
    <comment ref="J2" authorId="1" shapeId="0" xr:uid="{0EA8894E-8573-4DC7-B323-573004F2A18B}">
      <text>
        <r>
          <rPr>
            <sz val="9"/>
            <color indexed="81"/>
            <rFont val="Tahoma"/>
            <family val="2"/>
          </rPr>
          <t>will be 0 for some inputs or outputs,  e.g. some chemicals will not have an LHV, or e.g. cold water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00000000-0006-0000-0700-000001000000}">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00000000-0006-0000-0700-000002000000}">
      <text>
        <r>
          <rPr>
            <sz val="9"/>
            <color indexed="81"/>
            <rFont val="Tahoma"/>
            <family val="2"/>
          </rPr>
          <t>Recycle loops are not included in GHG calculations, as they do not cross the system boundary</t>
        </r>
      </text>
    </comment>
    <comment ref="J2" authorId="1" shapeId="0" xr:uid="{00000000-0006-0000-0700-000003000000}">
      <text>
        <r>
          <rPr>
            <sz val="9"/>
            <color indexed="81"/>
            <rFont val="Tahoma"/>
            <family val="2"/>
          </rPr>
          <t>will be 0 for some inputs or outputs,  e.g. some chemicals will not have an LHV, or e.g. cold water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848F0E41-035B-49AE-945A-7D2E33AC9019}">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76920BF0-DF97-4A9E-80BB-B8060A52A16C}">
      <text>
        <r>
          <rPr>
            <sz val="9"/>
            <color indexed="81"/>
            <rFont val="Tahoma"/>
            <family val="2"/>
          </rPr>
          <t>Recycle loops are not included in GHG calculations, as they do not cross the system boundary</t>
        </r>
      </text>
    </comment>
    <comment ref="J2" authorId="1" shapeId="0" xr:uid="{3EA9352A-F1CD-4FFF-A29E-733FEC535656}">
      <text>
        <r>
          <rPr>
            <sz val="9"/>
            <color indexed="81"/>
            <rFont val="Tahoma"/>
            <family val="2"/>
          </rPr>
          <t>will be 0 for some inputs or outputs,  e.g. some chemicals will not have an LHV, or e.g. cold water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DE437106-1883-4A27-94C9-1D9900F84D76}">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3FE2D6E0-D9E3-45B6-9142-69BEB2DDAB80}">
      <text>
        <r>
          <rPr>
            <sz val="9"/>
            <color indexed="81"/>
            <rFont val="Tahoma"/>
            <family val="2"/>
          </rPr>
          <t>Recycle loops are not included in GHG calculations, as they do not cross the system boundary</t>
        </r>
      </text>
    </comment>
    <comment ref="J2" authorId="1" shapeId="0" xr:uid="{8562B8F7-C1DA-45ED-8026-4DAD536B51EC}">
      <text>
        <r>
          <rPr>
            <sz val="9"/>
            <color indexed="81"/>
            <rFont val="Tahoma"/>
            <family val="2"/>
          </rPr>
          <t>will be 0 for some inputs or outputs,  e.g. some chemicals will not have an LHV, or e.g. cold water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009DC7DC-BE86-4A89-9052-606CF3983F6D}">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6791E7A4-D193-45C9-8268-02DC34BAC39E}">
      <text>
        <r>
          <rPr>
            <sz val="9"/>
            <color indexed="81"/>
            <rFont val="Tahoma"/>
            <family val="2"/>
          </rPr>
          <t>Recycle loops are not included in GHG calculations, as they do not cross the system boundary</t>
        </r>
      </text>
    </comment>
    <comment ref="J2" authorId="1" shapeId="0" xr:uid="{1127C253-880A-449E-8DB7-823AE0A2D2D2}">
      <text>
        <r>
          <rPr>
            <sz val="9"/>
            <color indexed="81"/>
            <rFont val="Tahoma"/>
            <family val="2"/>
          </rPr>
          <t>will be 0 for some inputs or outputs,  e.g. some chemicals will not have an LHV, or e.g. cold water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B346CE4F-0600-4A36-8E0F-2D6399180112}">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294A8A27-0138-4358-81D9-18187CA22A76}">
      <text>
        <r>
          <rPr>
            <sz val="9"/>
            <color indexed="81"/>
            <rFont val="Tahoma"/>
            <family val="2"/>
          </rPr>
          <t>Recycle loops are not included in GHG calculations, as they do not cross the system boundary</t>
        </r>
      </text>
    </comment>
    <comment ref="J2" authorId="1" shapeId="0" xr:uid="{74121B11-B302-4093-905D-0A2DDF2E2432}">
      <text>
        <r>
          <rPr>
            <sz val="9"/>
            <color indexed="81"/>
            <rFont val="Tahoma"/>
            <family val="2"/>
          </rPr>
          <t>will be 0 for some inputs or outputs,  e.g. some chemicals will not have an LHV, or e.g. cold water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268AC4BC-ED73-440C-8E06-2B03EB0B0DBD}">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42F3A96C-C08D-4A89-B943-0F3EEEC04BF4}">
      <text>
        <r>
          <rPr>
            <sz val="9"/>
            <color indexed="81"/>
            <rFont val="Tahoma"/>
            <family val="2"/>
          </rPr>
          <t>Recycle loops are not included in GHG calculations, as they do not cross the system boundary</t>
        </r>
      </text>
    </comment>
    <comment ref="J2" authorId="1" shapeId="0" xr:uid="{353B46F6-1E66-42EE-AEF1-093CF98108AA}">
      <text>
        <r>
          <rPr>
            <sz val="9"/>
            <color indexed="81"/>
            <rFont val="Tahoma"/>
            <family val="2"/>
          </rPr>
          <t>will be 0 for some inputs or outputs,  e.g. some chemicals will not have an LHV, or e.g. cold water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C2BD982B-61EC-4395-AF27-F217D42347EB}">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8563CC0D-66B9-4C6D-897E-546C86377B05}">
      <text>
        <r>
          <rPr>
            <sz val="9"/>
            <color indexed="81"/>
            <rFont val="Tahoma"/>
            <family val="2"/>
          </rPr>
          <t>Recycle loops are not included in GHG calculations, as they do not cross the system boundary</t>
        </r>
      </text>
    </comment>
    <comment ref="J2" authorId="1" shapeId="0" xr:uid="{D1D64884-56AD-4FC9-85DC-9ADF6BEB633D}">
      <text>
        <r>
          <rPr>
            <sz val="9"/>
            <color indexed="81"/>
            <rFont val="Tahoma"/>
            <family val="2"/>
          </rPr>
          <t>will be 0 for some inputs or outputs,  e.g. some chemicals will not have an LHV, or e.g. cold water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Sabine Ziem</author>
    <author>Eloise Cotton</author>
  </authors>
  <commentList>
    <comment ref="H2" authorId="0" shapeId="0" xr:uid="{55D4E812-4C32-408B-A8D9-9C97093FDA3F}">
      <text>
        <r>
          <rPr>
            <sz val="9"/>
            <color indexed="81"/>
            <rFont val="Tahoma"/>
            <family val="2"/>
          </rPr>
          <t>please specify in as much detail as possible where these inputs originate from. E.g. CHP unit or whichever external supplier (state where this supplier is located to estimate transport distances &amp; modes</t>
        </r>
      </text>
    </comment>
    <comment ref="I2" authorId="1" shapeId="0" xr:uid="{4910AC02-3F8C-44D6-AA7E-764D40BA6E10}">
      <text>
        <r>
          <rPr>
            <sz val="9"/>
            <color indexed="81"/>
            <rFont val="Tahoma"/>
            <family val="2"/>
          </rPr>
          <t>Recycle loops are not included in GHG calculations, as they do not cross the system boundary</t>
        </r>
      </text>
    </comment>
    <comment ref="J2" authorId="1" shapeId="0" xr:uid="{4D7CC212-A0FE-4CB6-9F75-E68A1164DB4B}">
      <text>
        <r>
          <rPr>
            <sz val="9"/>
            <color indexed="81"/>
            <rFont val="Tahoma"/>
            <family val="2"/>
          </rPr>
          <t>will be 0 for some inputs or outputs,  e.g. some chemicals will not have an LHV, or e.g. cold water</t>
        </r>
      </text>
    </comment>
  </commentList>
</comments>
</file>

<file path=xl/sharedStrings.xml><?xml version="1.0" encoding="utf-8"?>
<sst xmlns="http://schemas.openxmlformats.org/spreadsheetml/2006/main" count="1477" uniqueCount="386">
  <si>
    <t>Contact details</t>
  </si>
  <si>
    <t>Please include "GHG Template Question" + the project name in the subject line of emails with questions regarding this template</t>
  </si>
  <si>
    <t>Sheet filled by bidder name</t>
  </si>
  <si>
    <t>Bidder email address</t>
  </si>
  <si>
    <t>Legend</t>
  </si>
  <si>
    <t>Cells require data input</t>
  </si>
  <si>
    <t>Calculation cells</t>
  </si>
  <si>
    <t>Cell does not require data input and is not a calculation</t>
  </si>
  <si>
    <t>Units</t>
  </si>
  <si>
    <t>Assumptions</t>
  </si>
  <si>
    <t>System boundary</t>
  </si>
  <si>
    <t>Summary</t>
  </si>
  <si>
    <t>Feedstock collection</t>
  </si>
  <si>
    <t>Feedstock transport</t>
  </si>
  <si>
    <t>Pre-processing</t>
  </si>
  <si>
    <t>Intermediate transport</t>
  </si>
  <si>
    <t>Conversion</t>
  </si>
  <si>
    <t>Further transport</t>
  </si>
  <si>
    <t>Upgrading</t>
  </si>
  <si>
    <t>Fuel distribution 1</t>
  </si>
  <si>
    <t>Fuel storage</t>
  </si>
  <si>
    <t>Fuel distribution 2</t>
  </si>
  <si>
    <t>Energy conversion factors</t>
  </si>
  <si>
    <t>From                                         To</t>
  </si>
  <si>
    <t>TJ</t>
  </si>
  <si>
    <t>Gcal</t>
  </si>
  <si>
    <t>Mtoe</t>
  </si>
  <si>
    <t>Mbtu</t>
  </si>
  <si>
    <t>GWh</t>
  </si>
  <si>
    <t>Terajoule (TJ)</t>
  </si>
  <si>
    <t>GigaCalorie (Gcal)</t>
  </si>
  <si>
    <t>million tonne of oil equivalent (Mtoe)</t>
  </si>
  <si>
    <t>million British thermal unit (Mbtu)</t>
  </si>
  <si>
    <t>GigaWatt hour (GWh)</t>
  </si>
  <si>
    <t>Mass conversion factors</t>
  </si>
  <si>
    <t>kg</t>
  </si>
  <si>
    <t>te</t>
  </si>
  <si>
    <t>lt</t>
  </si>
  <si>
    <t>st</t>
  </si>
  <si>
    <t>lb</t>
  </si>
  <si>
    <t>oz</t>
  </si>
  <si>
    <t>kilogramme (kg)</t>
  </si>
  <si>
    <t>tonne (te)</t>
  </si>
  <si>
    <t>long ton (lt)</t>
  </si>
  <si>
    <t>short ton (st)</t>
  </si>
  <si>
    <t>pound (lb)</t>
  </si>
  <si>
    <t>ounce (oz)</t>
  </si>
  <si>
    <t>Volume conversion factors</t>
  </si>
  <si>
    <t>gal US</t>
  </si>
  <si>
    <t>gal UK</t>
  </si>
  <si>
    <t>bbl</t>
  </si>
  <si>
    <t>ft3</t>
  </si>
  <si>
    <t>l</t>
  </si>
  <si>
    <t>m3</t>
  </si>
  <si>
    <t>US gallon (gal)</t>
  </si>
  <si>
    <t>UK gallon (gal)</t>
  </si>
  <si>
    <t>barrel (bbl)</t>
  </si>
  <si>
    <t>litre (l)</t>
  </si>
  <si>
    <t>cubic metre (m3)</t>
  </si>
  <si>
    <t>Length conversion factors</t>
  </si>
  <si>
    <t>in</t>
  </si>
  <si>
    <t>ft</t>
  </si>
  <si>
    <t>yd</t>
  </si>
  <si>
    <t>mi</t>
  </si>
  <si>
    <t>nmi</t>
  </si>
  <si>
    <t>m</t>
  </si>
  <si>
    <t>km</t>
  </si>
  <si>
    <t>inch (in)</t>
  </si>
  <si>
    <t>foot (ft)</t>
  </si>
  <si>
    <t>yard (yd)</t>
  </si>
  <si>
    <t>mile (mi)</t>
  </si>
  <si>
    <t>nautical mile (nmi)</t>
  </si>
  <si>
    <t>metre (m)</t>
  </si>
  <si>
    <t>kilometre (km)</t>
  </si>
  <si>
    <t>Power conversion factors</t>
  </si>
  <si>
    <t>HP</t>
  </si>
  <si>
    <t>kW</t>
  </si>
  <si>
    <t>horsepower (HP) - mechanic</t>
  </si>
  <si>
    <t>kilowatts (kW)</t>
  </si>
  <si>
    <t>Metric Prefixes</t>
  </si>
  <si>
    <t>10^x</t>
  </si>
  <si>
    <t>Prefix</t>
  </si>
  <si>
    <t>Symbol</t>
  </si>
  <si>
    <t>10^24</t>
  </si>
  <si>
    <t>yotta</t>
  </si>
  <si>
    <t>Y</t>
  </si>
  <si>
    <t>10^21</t>
  </si>
  <si>
    <t>zetta</t>
  </si>
  <si>
    <t>Z</t>
  </si>
  <si>
    <t>10^18</t>
  </si>
  <si>
    <t>exa</t>
  </si>
  <si>
    <t>E</t>
  </si>
  <si>
    <t>10^15</t>
  </si>
  <si>
    <t>peta</t>
  </si>
  <si>
    <t>P</t>
  </si>
  <si>
    <t>10^12</t>
  </si>
  <si>
    <t>tera</t>
  </si>
  <si>
    <t>T</t>
  </si>
  <si>
    <t>10^9</t>
  </si>
  <si>
    <t>giga</t>
  </si>
  <si>
    <t>G</t>
  </si>
  <si>
    <t>10^6</t>
  </si>
  <si>
    <t>mega</t>
  </si>
  <si>
    <t>M</t>
  </si>
  <si>
    <t>10^3</t>
  </si>
  <si>
    <t>kilo</t>
  </si>
  <si>
    <t>k</t>
  </si>
  <si>
    <t>10^2</t>
  </si>
  <si>
    <t>hecto</t>
  </si>
  <si>
    <t>h</t>
  </si>
  <si>
    <t>10^1</t>
  </si>
  <si>
    <t>deka</t>
  </si>
  <si>
    <t>da</t>
  </si>
  <si>
    <t>10^-1</t>
  </si>
  <si>
    <t>deci</t>
  </si>
  <si>
    <t>d</t>
  </si>
  <si>
    <t>10^-2</t>
  </si>
  <si>
    <t>centi</t>
  </si>
  <si>
    <t>c</t>
  </si>
  <si>
    <t>10^-3</t>
  </si>
  <si>
    <t>milli</t>
  </si>
  <si>
    <t>10^-6</t>
  </si>
  <si>
    <t>micro</t>
  </si>
  <si>
    <t>10^-9</t>
  </si>
  <si>
    <t>nano</t>
  </si>
  <si>
    <t>n</t>
  </si>
  <si>
    <t>10^-12</t>
  </si>
  <si>
    <t>pico</t>
  </si>
  <si>
    <t>p</t>
  </si>
  <si>
    <t>10^-15</t>
  </si>
  <si>
    <t>femto</t>
  </si>
  <si>
    <t>f</t>
  </si>
  <si>
    <t>10^-18</t>
  </si>
  <si>
    <t>atto</t>
  </si>
  <si>
    <t>a</t>
  </si>
  <si>
    <t>10^-21</t>
  </si>
  <si>
    <t>zepto</t>
  </si>
  <si>
    <t>z</t>
  </si>
  <si>
    <t>10^-24</t>
  </si>
  <si>
    <t>yocto</t>
  </si>
  <si>
    <t>y</t>
  </si>
  <si>
    <t xml:space="preserve">Sources: </t>
  </si>
  <si>
    <t>http://wds.iea.org/wds/pdf/documentation_co2_2012.pdf</t>
  </si>
  <si>
    <t>http://www.exo.net/~pauld/physics/Metric_prefixes.html</t>
  </si>
  <si>
    <t>Global warming potentials</t>
  </si>
  <si>
    <t>Greenhouse gas</t>
  </si>
  <si>
    <t>tCO2e/t of gas</t>
  </si>
  <si>
    <t>CO</t>
  </si>
  <si>
    <t>CH4</t>
  </si>
  <si>
    <t>N2O</t>
  </si>
  <si>
    <t>Useful links, references</t>
  </si>
  <si>
    <t>RTFO guidance</t>
  </si>
  <si>
    <t>RTFO Carbon Calculator</t>
  </si>
  <si>
    <t>https://www.gov.uk/government/publications/biofuels-carbon-calculator-rtfo</t>
  </si>
  <si>
    <t>RTFO carbon intensity templates</t>
  </si>
  <si>
    <t>https://assets.publishing.service.gov.uk/government/uploads/system/uploads/attachment_data/file/947712/carbon-intensity-data-templates-2021.ods</t>
  </si>
  <si>
    <t>RED II text</t>
  </si>
  <si>
    <t>RED II summary</t>
  </si>
  <si>
    <t>https://ec.europa.eu/jrc/en/jec/renewable-energy-recast-2030-red-ii</t>
  </si>
  <si>
    <t>JEC WTT v5</t>
  </si>
  <si>
    <t>https://ec.europa.eu/jrc/en/publication/eur-scientific-and-technical-research-reports/jec-well-tank-report-v5</t>
  </si>
  <si>
    <t>JRC updated input data for biofuel GHG default values</t>
  </si>
  <si>
    <t>https://ec.europa.eu/energy/sites/ener/files/documents/default_values_biofuels_main_reportl_online.pdf</t>
  </si>
  <si>
    <t>http://www.biograce.net/home</t>
  </si>
  <si>
    <t>EcoInvent/ISCC database of GHG emissions</t>
  </si>
  <si>
    <t>Allocation of GHG emissions to main output of each module</t>
  </si>
  <si>
    <t>Cumulative backward chain allocation of GHG emissions</t>
  </si>
  <si>
    <t>Total chain</t>
  </si>
  <si>
    <t>Module total</t>
  </si>
  <si>
    <t>hr/yr</t>
  </si>
  <si>
    <t>Type of input/output</t>
  </si>
  <si>
    <t>Description of input/output</t>
  </si>
  <si>
    <t>Value</t>
  </si>
  <si>
    <t>Flow in from/out to:</t>
  </si>
  <si>
    <t>Reference for GHG intensity</t>
  </si>
  <si>
    <t>Comments &amp; questions</t>
  </si>
  <si>
    <t>Inputs</t>
  </si>
  <si>
    <t>Module main feedstock</t>
  </si>
  <si>
    <t>Yes</t>
  </si>
  <si>
    <t>Energy</t>
  </si>
  <si>
    <t>e.g. Electricity</t>
  </si>
  <si>
    <t>NA</t>
  </si>
  <si>
    <t>e.g. Diesel</t>
  </si>
  <si>
    <t>Outputs</t>
  </si>
  <si>
    <t>Module main output</t>
  </si>
  <si>
    <t>No</t>
  </si>
  <si>
    <t>Wastes</t>
  </si>
  <si>
    <t>e.g. Natural gas</t>
  </si>
  <si>
    <t>Co-products</t>
  </si>
  <si>
    <t>Residues</t>
  </si>
  <si>
    <t>e.g. Ash</t>
  </si>
  <si>
    <t>Chemicals</t>
  </si>
  <si>
    <t>e.g. Oxygen</t>
  </si>
  <si>
    <t>e.g. FT waxes</t>
  </si>
  <si>
    <t>Version control</t>
  </si>
  <si>
    <t>https://www.ipcc.ch/site/assets/uploads/2018/02/ar4-wg1-chapter2-1.pdf</t>
  </si>
  <si>
    <t>H2</t>
  </si>
  <si>
    <t>https://ec.europa.eu/jrc/en/publication/eur-scientific-and-technical-research-reports/solid-and-gaseous-bioenergy-pathways-input-values-and-ghg-emissions-calculated-according-0</t>
  </si>
  <si>
    <t>JRC updated data for solid/gaseous biogenic GHG default values</t>
  </si>
  <si>
    <t>https://web.archive.org/web/20190605065129/http://www.arb.ca.gov/fuels/lcfs/workgroups/lcfssustain/ISCC_EU_205_GHG_Calculation_and_GHG_Audit_2.3_eng.pdf</t>
  </si>
  <si>
    <t>https://www.gov.uk/government/publications/renewable-transport-fuel-obligation-rtfo-compliance-reporting-and-verification</t>
  </si>
  <si>
    <t>https://ec.europa.eu/info/sites/default/files/amendment-renewable-energy-directive-2030-climate-target-with-annexes_en.pdf</t>
  </si>
  <si>
    <t>https://ec.europa.eu/info/sites/default/files/refueleu_aviation_-_sustainable_aviation_fuels.pdf</t>
  </si>
  <si>
    <t xml:space="preserve">SAF mandate consultation </t>
  </si>
  <si>
    <t>https://www.gov.uk/government/consultations/mandating-the-use-of-sustainable-aviation-fuels-in-the-uk</t>
  </si>
  <si>
    <t>https://iea.blob.core.windows.net/assets/deebef5d-0c34-4539-9d0c-10b13d840027/NetZeroby2050-ARoadmapfortheGlobalEnergySector_CORR.pdf</t>
  </si>
  <si>
    <t>https://www.gov.uk/government/publications/greenhouse-gas-reporting-conversion-factors-2021</t>
  </si>
  <si>
    <t>UK Government conversion factors for Company Reporting. Year 2021</t>
  </si>
  <si>
    <t>Biofuel, RFNBO, nuclear or RCF consignment?</t>
  </si>
  <si>
    <t>https://www.gov.uk/government/publications/atmospheric-implications-of-increased-hydrogen-use</t>
  </si>
  <si>
    <t>https://assets.publishing.service.gov.uk/government/uploads/system/uploads/attachment_data/file/1042787/renewable-transport-fuel-obligation-compliance-guidance.pdf</t>
  </si>
  <si>
    <t>GHG intensity of electricity consumed by UK industrial users</t>
  </si>
  <si>
    <t>Data Tables 1-19, Table 1, column I, https://www.gov.uk/government/publications/valuation-of-energy-use-and-greenhouse-gas-emissions-for-appraisal</t>
  </si>
  <si>
    <t>UK Low Carbon Hydrogen Standard - GHG and sustainability guidance</t>
  </si>
  <si>
    <t>https://assets.publishing.service.gov.uk/government/uploads/system/uploads/attachment_data/file/1067392/low-carbon-hydrogen-standard-guidance.pdf</t>
  </si>
  <si>
    <t>UK Low Carbon Hydrogen Standard - annexes to guidance</t>
  </si>
  <si>
    <t>https://assets.publishing.service.gov.uk/government/uploads/system/uploads/attachment_data/file/1067393/low-carbon-hydrogen-standard-guidance-annexes.pdf</t>
  </si>
  <si>
    <t>UK Low Carbon Hydrogen Standard - data table annex</t>
  </si>
  <si>
    <t>https://assets.publishing.service.gov.uk/government/uploads/system/uploads/attachment_data/file/1067394/low-carbon-hydrogen-standard-guidance-data-tables.pdf</t>
  </si>
  <si>
    <t>UK Low Carbon Hydrogen Standard consultation - Government response</t>
  </si>
  <si>
    <t>https://www.gov.uk/government/consultations/designing-a-uk-low-carbon-hydrogen-standard</t>
  </si>
  <si>
    <t>0.45% methane loss suggested for gas distribution grid transport</t>
  </si>
  <si>
    <t>http://www.element-energy.co.uk/wordpress/wp-content/uploads/2021/08/Zemo-Low-Carbon-Hydrogen-WTT-Pathways-full-report.pdf</t>
  </si>
  <si>
    <t>https://eur-lex.europa.eu/legal-content/EN/TXT/PDF/?uri=CELEX:32018L2001&amp;from=EN</t>
  </si>
  <si>
    <t>Biograce II biomass electricity, heating, cooling calculator (RED II compliant)</t>
  </si>
  <si>
    <t>https://www.biograce.net/biograce2/</t>
  </si>
  <si>
    <t>Biograce I biofuels calculator (RED I compliant)</t>
  </si>
  <si>
    <t>The following links can provide useful data sources that may be relevant</t>
  </si>
  <si>
    <t>IEA Net Zero Emissions by 2050 scenario</t>
  </si>
  <si>
    <t>RED III proposal</t>
  </si>
  <si>
    <t>ReFuelEUAviation proposal</t>
  </si>
  <si>
    <t>Please provide a schematic representation of your system boundary and supply chain for the fuel consignment(s) analysed in this Workbook</t>
  </si>
  <si>
    <t>Refuelling</t>
  </si>
  <si>
    <t xml:space="preserve">RTFO Targeting Net Zero Consultation (March 2021) </t>
  </si>
  <si>
    <t>https://www.gov.uk/government/consultations/amending-the-renewable-transport-fuels-obligation-rtfo-to-increase-carbon-savings-on-land-air-and-at-sea</t>
  </si>
  <si>
    <t>Edisp</t>
  </si>
  <si>
    <t>Efe</t>
  </si>
  <si>
    <t>Ee</t>
  </si>
  <si>
    <t>EfRCF</t>
  </si>
  <si>
    <t>Suppliers of RCFs from industrial waste gases must demonstrate that the avoided GHG emissions from the industrial gases are not already counted elsewhere (e.g. under the UK Emissions Trading Scheme), and that they have not been attributed to the final fuel.</t>
  </si>
  <si>
    <t>First year of full operations</t>
  </si>
  <si>
    <t>AFF@ricardo.com</t>
  </si>
  <si>
    <t>Advanced Fuels Fund threshold</t>
  </si>
  <si>
    <t>Please note that this trajectory is based on the Treasury's Green Book forecast values, and actual real-world grid factors may be different to these projections.</t>
  </si>
  <si>
    <t>First full year of operations for your proposed plant</t>
  </si>
  <si>
    <t>This means if your plant is proposing to start full operations in 2027, you should use the 2027 grid factor from row 6 above for any consumption of grid electricity. We have highlighted the value to use based on your input year in the Guidance worksheet.</t>
  </si>
  <si>
    <t>Demonstration or FOAK commercial project?</t>
  </si>
  <si>
    <t>Other relevant evidence</t>
  </si>
  <si>
    <t>Unit conversions that can be used throughout the workbook (additional conversions can be added if required)</t>
  </si>
  <si>
    <t>Please provide a schematic representation of your system boundary, for the chosen consignment</t>
  </si>
  <si>
    <t>Results tab showing module efficiencies, emissions, allocation between products and chain total GHG emissions (inc. fossil feedstock counterfactual emissions). Include with your application form</t>
  </si>
  <si>
    <t>Additional evidence</t>
  </si>
  <si>
    <t>RCF counterfactual</t>
  </si>
  <si>
    <t>Calculation of the counterfactual GHG emissions of diverting waste fossil feedstock away from its current use</t>
  </si>
  <si>
    <t>Workbook structure</t>
  </si>
  <si>
    <t>Compliance with the RTFO or SAF mandate at the time of first plant operations will rely on using actual UK grid factors from 3 years prior to that date (e.g. 2018 grid factors were published by BEIS in June 2020).</t>
  </si>
  <si>
    <t>The gCO2e/MJe grid factors have therefore been delayed by 3 years for your use in the Advanced Fuels Fund.</t>
  </si>
  <si>
    <t>cubic feet (ft3)</t>
  </si>
  <si>
    <t>Maximum permitted GHG emissions for each fuel consignment under the Advanced Fuels Fund, UK grid electricity GHG emissions factor to be used, other useful reference sources</t>
  </si>
  <si>
    <t>Highlighted cell to match chosen year (cell input not required)</t>
  </si>
  <si>
    <r>
      <t>Grid electricity GHG intensity (kgCO</t>
    </r>
    <r>
      <rPr>
        <vertAlign val="subscript"/>
        <sz val="11"/>
        <color theme="0" tint="-0.34998626667073579"/>
        <rFont val="Calibri"/>
        <family val="2"/>
      </rPr>
      <t>2e</t>
    </r>
    <r>
      <rPr>
        <sz val="11"/>
        <color theme="0" tint="-0.34998626667073579"/>
        <rFont val="Calibri"/>
        <family val="2"/>
      </rPr>
      <t>/kWh</t>
    </r>
    <r>
      <rPr>
        <vertAlign val="subscript"/>
        <sz val="11"/>
        <color theme="0" tint="-0.34998626667073579"/>
        <rFont val="Calibri"/>
        <family val="2"/>
      </rPr>
      <t>e</t>
    </r>
    <r>
      <rPr>
        <sz val="11"/>
        <color theme="0" tint="-0.34998626667073579"/>
        <rFont val="Calibri"/>
        <family val="2"/>
      </rPr>
      <t>) - as forecast</t>
    </r>
  </si>
  <si>
    <r>
      <t>Grid electricity GHG intensity (gCO</t>
    </r>
    <r>
      <rPr>
        <vertAlign val="subscript"/>
        <sz val="11"/>
        <color rgb="FF000000"/>
        <rFont val="Calibri"/>
        <family val="2"/>
      </rPr>
      <t>2e</t>
    </r>
    <r>
      <rPr>
        <sz val="11"/>
        <color rgb="FF000000"/>
        <rFont val="Calibri"/>
        <family val="2"/>
      </rPr>
      <t>/MJ</t>
    </r>
    <r>
      <rPr>
        <vertAlign val="subscript"/>
        <sz val="11"/>
        <color rgb="FF000000"/>
        <rFont val="Calibri"/>
        <family val="2"/>
      </rPr>
      <t>e</t>
    </r>
    <r>
      <rPr>
        <sz val="11"/>
        <color rgb="FF000000"/>
        <rFont val="Calibri"/>
        <family val="2"/>
      </rPr>
      <t>) - delayed 3 years for AFF use</t>
    </r>
  </si>
  <si>
    <t>If applicable, evidence of compliance with waste hierarchy</t>
  </si>
  <si>
    <t>If applicable, evidence for CCS use</t>
  </si>
  <si>
    <t>If applicable, evidence for CCU use and the permanence of the CO2 utilisation</t>
  </si>
  <si>
    <t>If applicable, evidence that hydrogen is likely to meet UK Low Carbon Hydrogen Standard</t>
  </si>
  <si>
    <t>If applicable, evidence that biomass feedstock likely to qualify as double-counting, sustainable residue or waste (and is not a segregated fat/oil)</t>
  </si>
  <si>
    <t>If applicable, evidence that biomass or RCF feedstock meets definition of a "waste"</t>
  </si>
  <si>
    <t>If applicable, evidence on compatibility of CO2 sourcing (for RNFBO and nuclear e-fuels)</t>
  </si>
  <si>
    <t>If applicable, calculation of the amount of fossil-fuel derived hydrogen used compared to total fuels output (and compliance with 5% threshold)</t>
  </si>
  <si>
    <t>Disclaimer</t>
  </si>
  <si>
    <t>E4tech, Ricardo and DfT take no responsibility for any user errors or inconsistent datasets being used.</t>
  </si>
  <si>
    <t>The onus is on the applicant to carefully check all the data they input and any suggested datasets referenced within the tool that they rely on within their calculations.</t>
  </si>
  <si>
    <t>Guidance</t>
  </si>
  <si>
    <t>Evidence for biomass feedstocks, wastes, CO2 sourcing, Low Carbon Hydrogen Standard, fossil hydrogen limit, CCU and CCS</t>
  </si>
  <si>
    <t>The emission factor of displaced energy in the counterfactual should be the latest published figures for a full reporting year for the average generation of that energy in the country where the feedstock and fuel is produced.</t>
  </si>
  <si>
    <t>For RDF and all other solid RCF feedstocks, this counterfactual is set as Energy-from-Waste combustion with electricity generation (no heat sales, and no CCS), at 22% electrical efficiency.</t>
  </si>
  <si>
    <t>Evidence that avoided GHG emissions from industrial gases are not already counted elsewhere (e.g. in an Emissions Trading Scheme), and that they have not been attributed to the final fuel</t>
  </si>
  <si>
    <t>Suppliers of RCFs produced from industrial gases should demonstrate that heat generation is not displaced by the production of RCFs. If heat is displaced, the calculations below need to be adjusted.</t>
  </si>
  <si>
    <r>
      <t>Emissions from displaced energy use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 prior to allocation</t>
    </r>
  </si>
  <si>
    <t>Efficiency of feedstock conversion to RCF (%), calculated from the total chain efficiency</t>
  </si>
  <si>
    <r>
      <t>Emission factor of the displaced energy in counterfactual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If grid power, use the UK grid factor in the Assumptions tab for the first full year of operations. If another counterfactual applies, e.g. heat, input the emissions factor</t>
    </r>
  </si>
  <si>
    <r>
      <t>This worksheet calculates the fossil feedstock counterfactual emissions in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of final fuel (prior to allocation), which will feed into the "Summary" tab (cell F3)</t>
    </r>
  </si>
  <si>
    <t>For UK grid electricity, this means 3 years before the analysis year, given e.g. Government conversion factors for grid electricity intensity in 2018 were published in June 2020.</t>
  </si>
  <si>
    <t>For industrial waste gases, alternative counterfactuals could be considered if sufficient evidence is provided below (or EfW power only may still be the appropriate counterfactual if grid electricity generation is displaced).</t>
  </si>
  <si>
    <t>Evidence for any alternative counterfactual for industrial gases - state clearly how the gas is used, what output product is being displaced, the efficiency and how much product is displaced, and its emissions factor (in what year), and feed this into the above calculations</t>
  </si>
  <si>
    <t>Evidence that industrial gases used in RCFs are not displacing heat generation. Or if heat is being displaced, state its efficiency and how much heat is being displaced, and its emissions factor (in what year), and feed this into the above calculations</t>
  </si>
  <si>
    <t>Recycled Carbon Fuels counterfactual emissions</t>
  </si>
  <si>
    <t>This worksheet should only be filled in if considering a recycled carbon fuel (RCF) consignment within this Excel workbook (as selected in the Guidance worksheet).</t>
  </si>
  <si>
    <r>
      <t>GHG emissions threshold is 31 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for biofuels, RFNBO and nuclear energy derived fuels. See the "Assumptions" worksheet for the RCF threshold trajectory over time</t>
    </r>
  </si>
  <si>
    <r>
      <t>First Full Year of Operations for FOAK Commercial Plant (gCO</t>
    </r>
    <r>
      <rPr>
        <b/>
        <vertAlign val="subscript"/>
        <sz val="11"/>
        <color rgb="FF000000"/>
        <rFont val="Calibri"/>
        <family val="2"/>
      </rPr>
      <t>2</t>
    </r>
    <r>
      <rPr>
        <b/>
        <sz val="11"/>
        <color rgb="FF000000"/>
        <rFont val="Calibri"/>
        <family val="2"/>
      </rPr>
      <t>e/MJ</t>
    </r>
    <r>
      <rPr>
        <b/>
        <vertAlign val="subscript"/>
        <sz val="11"/>
        <color rgb="FF000000"/>
        <rFont val="Calibri"/>
        <family val="2"/>
      </rPr>
      <t>LHV</t>
    </r>
    <r>
      <rPr>
        <b/>
        <sz val="11"/>
        <color rgb="FF000000"/>
        <rFont val="Calibri"/>
        <family val="2"/>
      </rPr>
      <t>)</t>
    </r>
  </si>
  <si>
    <t>Maximum permissible GHG emissions intensity of a fuel consignment</t>
  </si>
  <si>
    <t>Biofuel</t>
  </si>
  <si>
    <t>Renewable fuel of non-biological origin (RFNBO)</t>
  </si>
  <si>
    <t>Nuclear energy derived fuel</t>
  </si>
  <si>
    <t>Recycled carbon fuel (RCF)</t>
  </si>
  <si>
    <t>Efficiency of conversion in counterfactual use (%). 22% is assuming EfW power generation is the appropriate counterfactual for your feedstock. Change this value if using a different counterfactual</t>
  </si>
  <si>
    <t>Further flow details (e.g. energy source, type, distance, temperature, pressure, purity, moisture content)</t>
  </si>
  <si>
    <t>Source / evidence (e.g. production reports, contracts, delivery notes, lab testing, model)</t>
  </si>
  <si>
    <t>Does flow cross the GHG assessment boundary?</t>
  </si>
  <si>
    <t>Lower heating value [LHV] (MJ/kg)</t>
  </si>
  <si>
    <t>Reference for LHV</t>
  </si>
  <si>
    <t>Equivalent energy flow (MWh/yr LHV)</t>
  </si>
  <si>
    <t>e.g. Forestry residues</t>
  </si>
  <si>
    <t>e.g. Heating oil</t>
  </si>
  <si>
    <t>e.g. Chemicals</t>
  </si>
  <si>
    <t>e.g. Catalyst</t>
  </si>
  <si>
    <t xml:space="preserve">e.g. Water </t>
  </si>
  <si>
    <t>Materials</t>
  </si>
  <si>
    <t>tonnes/yr</t>
  </si>
  <si>
    <t>MWh/yr (LHV)</t>
  </si>
  <si>
    <r>
      <t>Module efficiency (MJ</t>
    </r>
    <r>
      <rPr>
        <b/>
        <vertAlign val="subscript"/>
        <sz val="11"/>
        <color rgb="FF000098"/>
        <rFont val="Calibri"/>
        <family val="2"/>
      </rPr>
      <t>LHV</t>
    </r>
    <r>
      <rPr>
        <b/>
        <sz val="11"/>
        <color rgb="FF000098"/>
        <rFont val="Calibri"/>
        <family val="2"/>
      </rPr>
      <t xml:space="preserve"> module main output/MJ</t>
    </r>
    <r>
      <rPr>
        <b/>
        <vertAlign val="subscript"/>
        <sz val="11"/>
        <color rgb="FF000098"/>
        <rFont val="Calibri"/>
        <family val="2"/>
      </rPr>
      <t>LHV</t>
    </r>
    <r>
      <rPr>
        <b/>
        <sz val="11"/>
        <color rgb="FF000098"/>
        <rFont val="Calibri"/>
        <family val="2"/>
      </rPr>
      <t xml:space="preserve"> module main input)</t>
    </r>
  </si>
  <si>
    <r>
      <t>Energy allocation (MJ</t>
    </r>
    <r>
      <rPr>
        <b/>
        <vertAlign val="subscript"/>
        <sz val="11"/>
        <color rgb="FF000098"/>
        <rFont val="Calibri"/>
        <family val="2"/>
      </rPr>
      <t>LHV</t>
    </r>
    <r>
      <rPr>
        <b/>
        <sz val="11"/>
        <color rgb="FF000098"/>
        <rFont val="Calibri"/>
        <family val="2"/>
      </rPr>
      <t xml:space="preserve"> main product/MJ</t>
    </r>
    <r>
      <rPr>
        <b/>
        <vertAlign val="subscript"/>
        <sz val="11"/>
        <color rgb="FF000098"/>
        <rFont val="Calibri"/>
        <family val="2"/>
      </rPr>
      <t>LHV</t>
    </r>
    <r>
      <rPr>
        <b/>
        <sz val="11"/>
        <color rgb="FF000098"/>
        <rFont val="Calibri"/>
        <family val="2"/>
      </rPr>
      <t xml:space="preserve"> all module products)</t>
    </r>
  </si>
  <si>
    <r>
      <t>GHG intensity 
(gCO</t>
    </r>
    <r>
      <rPr>
        <b/>
        <vertAlign val="subscript"/>
        <sz val="11"/>
        <color rgb="FF000098"/>
        <rFont val="Calibri"/>
        <family val="2"/>
      </rPr>
      <t>2</t>
    </r>
    <r>
      <rPr>
        <b/>
        <sz val="11"/>
        <color rgb="FF000098"/>
        <rFont val="Calibri"/>
        <family val="2"/>
      </rPr>
      <t>e/kg of material) - for materials with kg/hr units</t>
    </r>
  </si>
  <si>
    <r>
      <t>GHG intensity 
(gCO</t>
    </r>
    <r>
      <rPr>
        <b/>
        <vertAlign val="subscript"/>
        <sz val="11"/>
        <color rgb="FF000098"/>
        <rFont val="Calibri"/>
        <family val="2"/>
      </rPr>
      <t>2</t>
    </r>
    <r>
      <rPr>
        <b/>
        <sz val="11"/>
        <color rgb="FF000098"/>
        <rFont val="Calibri"/>
        <family val="2"/>
      </rPr>
      <t>e/MJ</t>
    </r>
    <r>
      <rPr>
        <b/>
        <vertAlign val="subscript"/>
        <sz val="11"/>
        <color rgb="FF000098"/>
        <rFont val="Calibri"/>
        <family val="2"/>
      </rPr>
      <t>LHV</t>
    </r>
    <r>
      <rPr>
        <b/>
        <sz val="11"/>
        <color rgb="FF000098"/>
        <rFont val="Calibri"/>
        <family val="2"/>
      </rPr>
      <t xml:space="preserve"> of energy) - for materials with MWh/yr (LHV) units</t>
    </r>
  </si>
  <si>
    <r>
      <t>GHG emissions (gCO</t>
    </r>
    <r>
      <rPr>
        <b/>
        <vertAlign val="subscript"/>
        <sz val="11"/>
        <color rgb="FF000098"/>
        <rFont val="Calibri"/>
        <family val="2"/>
      </rPr>
      <t>2</t>
    </r>
    <r>
      <rPr>
        <b/>
        <sz val="11"/>
        <color rgb="FF000098"/>
        <rFont val="Calibri"/>
        <family val="2"/>
      </rPr>
      <t>e/MJ</t>
    </r>
    <r>
      <rPr>
        <b/>
        <vertAlign val="subscript"/>
        <sz val="11"/>
        <color rgb="FF000098"/>
        <rFont val="Calibri"/>
        <family val="2"/>
      </rPr>
      <t>LHV</t>
    </r>
    <r>
      <rPr>
        <b/>
        <sz val="11"/>
        <color rgb="FF000098"/>
        <rFont val="Calibri"/>
        <family val="2"/>
      </rPr>
      <t xml:space="preserve"> module main output), WITHOUT allocation</t>
    </r>
  </si>
  <si>
    <t>e.g. Forestry residue chips</t>
  </si>
  <si>
    <t>e.g. Co-product 1</t>
  </si>
  <si>
    <t>e.g. Co-product 2</t>
  </si>
  <si>
    <t>e.g. Wastewater</t>
  </si>
  <si>
    <t>e.g. Sulphur</t>
  </si>
  <si>
    <t>CO2 generated</t>
  </si>
  <si>
    <t>e.g. Fossil CO2 generated from use of inputs</t>
  </si>
  <si>
    <t>Fugitive non-CO2 emissions</t>
  </si>
  <si>
    <t>e.g. Methane emitted, net of any mitigation</t>
  </si>
  <si>
    <t>e.g. N2O emitted, net of any mitigation</t>
  </si>
  <si>
    <t>Zero up to point of collection for wastes/residues</t>
  </si>
  <si>
    <t>Fossil CO2 generated and emitted (no CO2 capture) is given a penalty of 1 tonne CO2e/tonne CO2 under LCHS</t>
  </si>
  <si>
    <t>IPCC Fifth Assessment Report (AR5), GWP100 without carbon feedbacks</t>
  </si>
  <si>
    <t>Other characteristics</t>
  </si>
  <si>
    <t>Operating hours</t>
  </si>
  <si>
    <t>Full-load equivalents</t>
  </si>
  <si>
    <t>e.g. Spent catalysts</t>
  </si>
  <si>
    <t>CO2 sequestered</t>
  </si>
  <si>
    <t>e.g. Excess electricity generation</t>
  </si>
  <si>
    <t>Capture rate</t>
  </si>
  <si>
    <t>CCS capture rate</t>
  </si>
  <si>
    <t>%</t>
  </si>
  <si>
    <t>CO2 losses in T&amp;S</t>
  </si>
  <si>
    <t>CO2 lost during transmission and storage</t>
  </si>
  <si>
    <t>e.g. Jet fuel</t>
  </si>
  <si>
    <t>e.g. Forestry residue pellets</t>
  </si>
  <si>
    <t>e.g. Biogenic CO2 captured and sequestered</t>
  </si>
  <si>
    <t>e.g. Fossil CO2 captured and sequestered</t>
  </si>
  <si>
    <t>Biogenic CO2 sequestered is given a credit of 1 tonne CO2e/tonne CO2</t>
  </si>
  <si>
    <t>Fossil CO2 generated and emitted (no CO2 capture) is given a penalty of 1 tonne CO2e/tonne CO2</t>
  </si>
  <si>
    <t>Biogenic CO2 has nil GWP</t>
  </si>
  <si>
    <t>Fossil CO2 sequestered is given a credit of 1 tonne CO2e/tonne CO2, provided that the CO2 generated before capture is counted as an emission</t>
  </si>
  <si>
    <t>e.g. Useful heat to district heating network, factoring in Carnot efficiency</t>
  </si>
  <si>
    <t>CO2 utilised</t>
  </si>
  <si>
    <t>e.g. Biogenic CO2 captured and utilised (long-term use)</t>
  </si>
  <si>
    <t>e.g. Fossil CO2 captured and utilised (long-term use)</t>
  </si>
  <si>
    <t>Biogenic CO2 utilised (in long-term application, not released quickly back to atmosphere) is given a credit of 1 tonne CO2e/tonne CO2</t>
  </si>
  <si>
    <t>Fossil CO2  utilised (in long-term application, not released quickly back to atmosphere) is given a credit of 1 tonne CO2e/tonne CO2, provided that the CO2 generated before capture is counted as an emission</t>
  </si>
  <si>
    <t>e.g. Naphtha</t>
  </si>
  <si>
    <t>e.g. Reject materials, losses</t>
  </si>
  <si>
    <t>e.g. Biogenic CO2 generated onsite (e.g. some pellets or syngas burnt onsite for heating)</t>
  </si>
  <si>
    <t>e.g. Fossil CO2 generated onsite (e.g. combustion of diesel, nat gas)</t>
  </si>
  <si>
    <t>e.g. Biogenic CO2 generated onsite (e.g. some chip or pellets burnt onsite for heating)</t>
  </si>
  <si>
    <t>e.g. Biogenic CO2 generated onsite (e.g. some biogenic off-gases burnt onsite for heating)</t>
  </si>
  <si>
    <t xml:space="preserve">An applicant achieving a satisfactory GHG emissions result within the template is not necessarily proof of compliance with the Advanced Fuels Fund’s GHG emissions eligibility criteria, nor with the UK's RTFO or SAF mandate. </t>
  </si>
  <si>
    <t>Only once a completed version of this workbook, accompanying workbooks for any other fuel consignments (where relevant) and all accompanying evidence have been subject to detailed review for validity and consistency (which will happen throughout the funding allocation process) will DfT be able to state whether a project is compliant with the GHG eligibility requirements of the Advanced Fuels Fund.</t>
  </si>
  <si>
    <t>Accounting for only the emissions in supplying this input. Record any GHGs released on use in outputs table below</t>
  </si>
  <si>
    <t>GHG emissions calculation template for the DfT Advanced Fuels Fund (window 1)</t>
  </si>
  <si>
    <t>Project name</t>
  </si>
  <si>
    <t>Project location</t>
  </si>
  <si>
    <t>Conversion technology pathway</t>
  </si>
  <si>
    <t>Feedstock (in this workbook)</t>
  </si>
  <si>
    <t>Consignment, project, year and contact information, workbook legend, structure and disclaimer. Complete the initial questions at the top of this worksheet</t>
  </si>
  <si>
    <t>Include a copy of this table in your application form</t>
  </si>
  <si>
    <t>Following Appendix E of the Guidance document, for the purposes of the Advanced Fuels Fund, DfT are including emissions arising from the diversion of RCF feedstocks from their existing counterfactual use within the total RCF emissions calculation.</t>
  </si>
  <si>
    <t>Note that the RCF methodology set out below does not indicate a confirmed DfT policy position in relation to the RTFO or SAF mandate.</t>
  </si>
  <si>
    <t>Note that the RCF threshold set out below does not indicate a confirmed DfT policy position in relation to the RTFO or SAF mandate.</t>
  </si>
  <si>
    <t>https://assets.publishing.service.gov.uk/government/uploads/system/uploads/attachment_data/file/1042782/rtfo-guidance-for-biomethane-including-as-a-chemical-precursor.pdf</t>
  </si>
  <si>
    <t>0.13% methane loss per 1000km suggested for NTS gas grid transport</t>
  </si>
  <si>
    <t xml:space="preserve"> </t>
  </si>
  <si>
    <t>v1.1</t>
  </si>
  <si>
    <t>Revised publication version</t>
  </si>
  <si>
    <r>
      <t>Complete each of the applicable chain component worksheet, ensuring that all inputs and outputs for each process are captured. In each worksheet, a set of example inputs and outputs are provided. This should not be considered an exhaustive list, and some of the examples may not apply to your process, so red text should be deleted or adapted as appropriate.
The input and output values should be reported in tonnes/yr or MWh/yr. If you are converting from tonnes/hr or MW, please provide the assumed operating hours at the bottom of the worksheet. 
If a worksheet is not required, set the relevant row in column C in the Summary tab to "No", and this will keep the worksheet result as 100% efficiency, 100% allocation with no added GHG emissions (i.e. no impact).
The number of workbooks required will depend on (a) the technology readiness level of the plant and (b) whether multiple/mixed feedstocks are used: 
(a) For those applying for funding for a FOAK commercial plant, just complete 1 workbook for that plant. For those applying for funding for a demo plant, complete 2 separate Excel workbooks, one for the demo plant and one for a future commercial-sized plant (detailing and evidencing reasonable levels of process integration and optimisation, any changes in feedstock or major changes from the demo plant).
(b) If your fuel is not produced from a single homogenious feedstock,</t>
    </r>
    <r>
      <rPr>
        <sz val="11"/>
        <color rgb="FF00B0F0"/>
        <rFont val="Calibri"/>
        <family val="2"/>
      </rPr>
      <t xml:space="preserve"> </t>
    </r>
    <r>
      <rPr>
        <sz val="11"/>
        <color rgb="FF000000"/>
        <rFont val="Calibri"/>
        <family val="2"/>
      </rPr>
      <t>please complete separate Excel workbooks for each feedstock used. If your feedstock is a mix of biogenic and fossil fractions, then please complete separate Excel workbooks for the renewable part of your fuel and the non-renewable part of your fuel (using the different GHG methodologies for each consignment).</t>
    </r>
  </si>
  <si>
    <r>
      <t xml:space="preserve">Supply chain module 
</t>
    </r>
    <r>
      <rPr>
        <sz val="11"/>
        <color rgb="FF000000"/>
        <rFont val="Calibri"/>
        <family val="2"/>
      </rPr>
      <t>(module &amp; tab names can be altered)</t>
    </r>
  </si>
  <si>
    <r>
      <t xml:space="preserve">Is the module used? 
</t>
    </r>
    <r>
      <rPr>
        <sz val="11"/>
        <color rgb="FF000000"/>
        <rFont val="Calibri"/>
        <family val="2"/>
      </rPr>
      <t>(to complete)</t>
    </r>
  </si>
  <si>
    <r>
      <t xml:space="preserve">GHG emissions from module, WITH allocation </t>
    </r>
    <r>
      <rPr>
        <sz val="11"/>
        <color rgb="FF000000"/>
        <rFont val="Calibri"/>
        <family val="2"/>
      </rPr>
      <t>(gCO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final fuel)</t>
    </r>
  </si>
  <si>
    <r>
      <t xml:space="preserve">GHG emissions from module, WITHOUT allocation
</t>
    </r>
    <r>
      <rPr>
        <sz val="11"/>
        <color rgb="FF000000"/>
        <rFont val="Calibri"/>
        <family val="2"/>
      </rPr>
      <t>(gCO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final fuel)</t>
    </r>
  </si>
  <si>
    <r>
      <t xml:space="preserve">GHG emissions from module, WITHOUT allocation
</t>
    </r>
    <r>
      <rPr>
        <sz val="11"/>
        <color rgb="FF000000"/>
        <rFont val="Calibri"/>
        <family val="2"/>
      </rPr>
      <t>(gCO</t>
    </r>
    <r>
      <rPr>
        <vertAlign val="subscript"/>
        <sz val="11"/>
        <color rgb="FF000000"/>
        <rFont val="Calibri"/>
        <family val="2"/>
      </rPr>
      <t>2</t>
    </r>
    <r>
      <rPr>
        <sz val="11"/>
        <color rgb="FF000000"/>
        <rFont val="Calibri"/>
        <family val="2"/>
      </rPr>
      <t>e/MJ</t>
    </r>
    <r>
      <rPr>
        <vertAlign val="subscript"/>
        <sz val="11"/>
        <color rgb="FF000000"/>
        <rFont val="Calibri"/>
        <family val="2"/>
      </rPr>
      <t>LHV</t>
    </r>
    <r>
      <rPr>
        <sz val="11"/>
        <color rgb="FF000000"/>
        <rFont val="Calibri"/>
        <family val="2"/>
      </rPr>
      <t xml:space="preserve"> module main output)</t>
    </r>
  </si>
  <si>
    <r>
      <t xml:space="preserve">Cumulative backward chain efficiency 
</t>
    </r>
    <r>
      <rPr>
        <sz val="11"/>
        <color rgb="FF000000"/>
        <rFont val="Calibri"/>
        <family val="2"/>
      </rPr>
      <t>(MJ</t>
    </r>
    <r>
      <rPr>
        <vertAlign val="subscript"/>
        <sz val="11"/>
        <color rgb="FF000000"/>
        <rFont val="Calibri"/>
        <family val="2"/>
      </rPr>
      <t>LHV</t>
    </r>
    <r>
      <rPr>
        <sz val="11"/>
        <color rgb="FF000000"/>
        <rFont val="Calibri"/>
        <family val="2"/>
      </rPr>
      <t xml:space="preserve"> module main output/MJ</t>
    </r>
    <r>
      <rPr>
        <vertAlign val="subscript"/>
        <sz val="11"/>
        <color rgb="FF000000"/>
        <rFont val="Calibri"/>
        <family val="2"/>
      </rPr>
      <t>LHV</t>
    </r>
    <r>
      <rPr>
        <sz val="11"/>
        <color rgb="FF000000"/>
        <rFont val="Calibri"/>
        <family val="2"/>
      </rPr>
      <t xml:space="preserve"> final fuel)</t>
    </r>
  </si>
  <si>
    <r>
      <t xml:space="preserve">Module efficiency </t>
    </r>
    <r>
      <rPr>
        <sz val="11"/>
        <color rgb="FF000000"/>
        <rFont val="Calibri"/>
        <family val="2"/>
      </rPr>
      <t>(MJ</t>
    </r>
    <r>
      <rPr>
        <vertAlign val="subscript"/>
        <sz val="11"/>
        <color rgb="FF000000"/>
        <rFont val="Calibri"/>
        <family val="2"/>
      </rPr>
      <t>LHV</t>
    </r>
    <r>
      <rPr>
        <sz val="11"/>
        <color rgb="FF000000"/>
        <rFont val="Calibri"/>
        <family val="2"/>
      </rPr>
      <t xml:space="preserve"> main output/ MJ</t>
    </r>
    <r>
      <rPr>
        <vertAlign val="subscript"/>
        <sz val="11"/>
        <color rgb="FF000000"/>
        <rFont val="Calibri"/>
        <family val="2"/>
      </rPr>
      <t>LHV</t>
    </r>
    <r>
      <rPr>
        <sz val="11"/>
        <color rgb="FF000000"/>
        <rFont val="Calibri"/>
        <family val="2"/>
      </rPr>
      <t xml:space="preserve"> main input)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</si>
</sst>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 #,##0.00_-;_-* &quot;-&quot;??_-;_-@_-"/>
    <numFmt numFmtId="164" formatCode="0.0000"/>
    <numFmt numFmtId="165" formatCode="dd\-mmm\-yyyy"/>
    <numFmt numFmtId="166" formatCode="0.000000"/>
    <numFmt numFmtId="167" formatCode="#,##0.0000"/>
    <numFmt numFmtId="168" formatCode="#,##0.0000000"/>
    <numFmt numFmtId="169" formatCode="0.00000"/>
    <numFmt numFmtId="170" formatCode="0.000"/>
    <numFmt numFmtId="171" formatCode="#,##0.000"/>
    <numFmt numFmtId="172" formatCode="0.0000000"/>
    <numFmt numFmtId="173" formatCode="#,##0.0"/>
    <numFmt numFmtId="174" formatCode="0.0"/>
    <numFmt numFmtId="175" formatCode="#,##0.00000"/>
    <numFmt numFmtId="176" formatCode="_-* #,##0_-;\-* #,##0_-;_-* &quot;-&quot;??_-;_-@_-"/>
    <numFmt numFmtId="177" formatCode="dd\ mmm\ yyyy"/>
    <numFmt numFmtId="178" formatCode="_-* #,##0.000_-;\-* #,##0.000_-;_-* &quot;-&quot;??_-;_-@_-"/>
  </numFmts>
  <fonts count="53">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0" tint="-0.499984740745262"/>
      <name val="Calibri"/>
      <family val="2"/>
    </font>
    <font>
      <sz val="8"/>
      <color theme="0" tint="-0.499984740745262"/>
      <name val="Calibri"/>
      <family val="2"/>
    </font>
    <font>
      <b/>
      <sz val="11"/>
      <color theme="0"/>
      <name val="Calibri"/>
      <family val="2"/>
    </font>
    <font>
      <sz val="11"/>
      <color rgb="FF000098"/>
      <name val="Calibri"/>
      <family val="2"/>
    </font>
    <font>
      <b/>
      <sz val="11"/>
      <color rgb="FF000098"/>
      <name val="Calibri"/>
      <family val="2"/>
    </font>
    <font>
      <b/>
      <sz val="11"/>
      <color theme="7" tint="-0.499984740745262"/>
      <name val="Calibri"/>
      <family val="2"/>
    </font>
    <font>
      <sz val="11"/>
      <color theme="7" tint="-0.499984740745262"/>
      <name val="Calibri"/>
      <family val="2"/>
    </font>
    <font>
      <sz val="11"/>
      <color rgb="FF000000"/>
      <name val="Calibri"/>
      <family val="2"/>
    </font>
    <font>
      <sz val="10"/>
      <name val="Arial"/>
      <family val="2"/>
    </font>
    <font>
      <b/>
      <sz val="11"/>
      <color rgb="FF000000"/>
      <name val="Calibri"/>
      <family val="2"/>
    </font>
    <font>
      <sz val="11"/>
      <color indexed="8"/>
      <name val="Calibri"/>
      <family val="2"/>
    </font>
    <font>
      <sz val="10"/>
      <name val="Arial Cyr"/>
    </font>
    <font>
      <sz val="11"/>
      <color rgb="FF000000"/>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b/>
      <sz val="11"/>
      <name val="Calibri"/>
      <family val="2"/>
    </font>
    <font>
      <sz val="11"/>
      <color rgb="FFFF0000"/>
      <name val="Calibri"/>
      <family val="2"/>
    </font>
    <font>
      <sz val="12"/>
      <color rgb="FF000000"/>
      <name val="Calibri"/>
      <family val="2"/>
    </font>
    <font>
      <u/>
      <sz val="11"/>
      <color rgb="FF000000"/>
      <name val="Calibri"/>
      <family val="2"/>
    </font>
    <font>
      <u/>
      <sz val="11"/>
      <color theme="10"/>
      <name val="Calibri"/>
      <family val="2"/>
    </font>
    <font>
      <b/>
      <sz val="11"/>
      <color indexed="8"/>
      <name val="Calibri"/>
      <family val="2"/>
    </font>
    <font>
      <sz val="11"/>
      <color theme="10"/>
      <name val="Calibri"/>
      <family val="2"/>
    </font>
    <font>
      <b/>
      <sz val="11"/>
      <color theme="10"/>
      <name val="Calibri"/>
      <family val="2"/>
    </font>
    <font>
      <b/>
      <sz val="18"/>
      <color theme="3"/>
      <name val="Calibri"/>
      <family val="2"/>
      <scheme val="major"/>
    </font>
    <font>
      <sz val="11"/>
      <color theme="1"/>
      <name val="Arial"/>
      <family val="2"/>
    </font>
    <font>
      <sz val="11"/>
      <color indexed="9"/>
      <name val="Calibri"/>
      <family val="2"/>
    </font>
    <font>
      <sz val="10"/>
      <color rgb="FF000000"/>
      <name val="Arial"/>
      <family val="2"/>
    </font>
    <font>
      <sz val="11"/>
      <color theme="1"/>
      <name val="Times New Roman"/>
      <family val="2"/>
    </font>
    <font>
      <b/>
      <sz val="11"/>
      <color theme="1"/>
      <name val="Calibri"/>
      <family val="2"/>
      <scheme val="minor"/>
    </font>
    <font>
      <sz val="11"/>
      <color rgb="FF00B0F0"/>
      <name val="Calibri"/>
      <family val="2"/>
    </font>
    <font>
      <i/>
      <sz val="11"/>
      <color rgb="FF000000"/>
      <name val="Calibri"/>
      <family val="2"/>
    </font>
    <font>
      <sz val="11"/>
      <color rgb="FF001D4F"/>
      <name val="Calibri"/>
      <family val="2"/>
    </font>
    <font>
      <i/>
      <sz val="10"/>
      <color rgb="FF000000"/>
      <name val="Calibri"/>
      <family val="2"/>
    </font>
    <font>
      <b/>
      <vertAlign val="subscript"/>
      <sz val="11"/>
      <color rgb="FF000000"/>
      <name val="Calibri"/>
      <family val="2"/>
    </font>
    <font>
      <vertAlign val="subscript"/>
      <sz val="11"/>
      <color rgb="FF000000"/>
      <name val="Calibri"/>
      <family val="2"/>
    </font>
    <font>
      <sz val="11"/>
      <color theme="0" tint="-0.34998626667073579"/>
      <name val="Calibri"/>
      <family val="2"/>
    </font>
    <font>
      <vertAlign val="subscript"/>
      <sz val="11"/>
      <color theme="0" tint="-0.34998626667073579"/>
      <name val="Calibri"/>
      <family val="2"/>
    </font>
    <font>
      <sz val="11"/>
      <color theme="0" tint="-0.34998626667073579"/>
      <name val="Calibri"/>
      <family val="2"/>
      <scheme val="minor"/>
    </font>
    <font>
      <b/>
      <sz val="11"/>
      <color theme="0" tint="-0.34998626667073579"/>
      <name val="Calibri"/>
      <family val="2"/>
      <scheme val="minor"/>
    </font>
    <font>
      <u/>
      <sz val="11"/>
      <name val="Calibri"/>
      <family val="2"/>
    </font>
    <font>
      <b/>
      <vertAlign val="subscript"/>
      <sz val="11"/>
      <color rgb="FF000098"/>
      <name val="Calibri"/>
      <family val="2"/>
    </font>
    <font>
      <b/>
      <sz val="11"/>
      <color rgb="FFFF0000"/>
      <name val="Calibri"/>
      <family val="2"/>
    </font>
    <font>
      <b/>
      <sz val="16"/>
      <color rgb="FF000000"/>
      <name val="Calibri"/>
      <family val="2"/>
    </font>
  </fonts>
  <fills count="17">
    <fill>
      <patternFill patternType="none"/>
    </fill>
    <fill>
      <patternFill patternType="gray125"/>
    </fill>
    <fill>
      <patternFill patternType="solid">
        <fgColor rgb="FF1B429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9" tint="0.59996337778862885"/>
        <bgColor indexed="64"/>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indexed="30"/>
      </patternFill>
    </fill>
    <fill>
      <patternFill patternType="solid">
        <fgColor theme="8" tint="0.39994506668294322"/>
        <bgColor indexed="64"/>
      </patternFill>
    </fill>
    <fill>
      <patternFill patternType="solid">
        <fgColor theme="2" tint="-9.9948118533890809E-2"/>
        <bgColor indexed="64"/>
      </patternFill>
    </fill>
    <fill>
      <patternFill patternType="solid">
        <fgColor theme="5" tint="0.79998168889431442"/>
        <bgColor indexed="64"/>
      </patternFill>
    </fill>
    <fill>
      <patternFill patternType="solid">
        <fgColor rgb="FFFFC000"/>
        <bgColor indexed="64"/>
      </patternFill>
    </fill>
  </fills>
  <borders count="20">
    <border>
      <left/>
      <right/>
      <top/>
      <bottom/>
      <diagonal/>
    </border>
    <border>
      <left/>
      <right/>
      <top/>
      <bottom style="thick">
        <color rgb="FF6AB0E0"/>
      </bottom>
      <diagonal/>
    </border>
    <border>
      <left/>
      <right/>
      <top/>
      <bottom style="medium">
        <color rgb="FF6AB0E0"/>
      </bottom>
      <diagonal/>
    </border>
    <border>
      <left/>
      <right/>
      <top/>
      <bottom style="medium">
        <color theme="7" tint="-0.499984740745262"/>
      </bottom>
      <diagonal/>
    </border>
    <border>
      <left/>
      <right/>
      <top/>
      <bottom style="thin">
        <color theme="7" tint="-0.499984740745262"/>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7">
    <xf numFmtId="0" fontId="0" fillId="0" borderId="0"/>
    <xf numFmtId="3" fontId="4" fillId="5" borderId="0" applyNumberFormat="0" applyBorder="0"/>
    <xf numFmtId="3" fontId="4" fillId="4" borderId="0" applyNumberFormat="0" applyBorder="0">
      <protection locked="0"/>
    </xf>
    <xf numFmtId="3" fontId="4" fillId="3" borderId="0" applyNumberFormat="0" applyBorder="0"/>
    <xf numFmtId="0" fontId="7" fillId="2" borderId="1"/>
    <xf numFmtId="0" fontId="9" fillId="0" borderId="1"/>
    <xf numFmtId="0" fontId="11" fillId="6" borderId="4"/>
    <xf numFmtId="0" fontId="5" fillId="0" borderId="0"/>
    <xf numFmtId="0" fontId="6" fillId="0" borderId="0"/>
    <xf numFmtId="0" fontId="10" fillId="0" borderId="3"/>
    <xf numFmtId="0" fontId="8" fillId="0" borderId="2"/>
    <xf numFmtId="3" fontId="4" fillId="7" borderId="0" applyNumberFormat="0" applyBorder="0"/>
    <xf numFmtId="0" fontId="4" fillId="8" borderId="0" applyNumberFormat="0" applyBorder="0">
      <protection locked="0"/>
    </xf>
    <xf numFmtId="0" fontId="3" fillId="0" borderId="0"/>
    <xf numFmtId="0" fontId="13" fillId="0" borderId="0"/>
    <xf numFmtId="0" fontId="12" fillId="0" borderId="0"/>
    <xf numFmtId="43" fontId="12" fillId="0" borderId="0" applyFont="0" applyFill="0" applyBorder="0" applyAlignment="0" applyProtection="0"/>
    <xf numFmtId="0" fontId="12" fillId="0" borderId="0"/>
    <xf numFmtId="0" fontId="15" fillId="0" borderId="0"/>
    <xf numFmtId="0" fontId="16" fillId="0" borderId="0"/>
    <xf numFmtId="43" fontId="3" fillId="0" borderId="0" applyFont="0" applyFill="0" applyBorder="0" applyAlignment="0" applyProtection="0"/>
    <xf numFmtId="0" fontId="4" fillId="8" borderId="0" applyBorder="0">
      <protection locked="0"/>
    </xf>
    <xf numFmtId="43" fontId="12" fillId="0" borderId="0" applyFont="0" applyFill="0" applyBorder="0" applyAlignment="0" applyProtection="0"/>
    <xf numFmtId="9" fontId="12" fillId="0" borderId="0" applyFont="0" applyFill="0" applyBorder="0" applyAlignment="0" applyProtection="0"/>
    <xf numFmtId="0" fontId="2" fillId="0" borderId="0"/>
    <xf numFmtId="9" fontId="2" fillId="0" borderId="0" applyFont="0" applyFill="0" applyBorder="0" applyAlignment="0" applyProtection="0"/>
    <xf numFmtId="0" fontId="29" fillId="0" borderId="0" applyNumberFormat="0" applyFill="0" applyBorder="0" applyAlignment="0" applyProtection="0"/>
    <xf numFmtId="0" fontId="13" fillId="0" borderId="0"/>
    <xf numFmtId="0" fontId="34" fillId="0" borderId="0"/>
    <xf numFmtId="0" fontId="13" fillId="0" borderId="0"/>
    <xf numFmtId="0" fontId="34" fillId="0" borderId="0"/>
    <xf numFmtId="0" fontId="35" fillId="12" borderId="0" applyNumberFormat="0" applyBorder="0" applyAlignment="0" applyProtection="0"/>
    <xf numFmtId="43" fontId="1" fillId="0" borderId="0" applyFont="0" applyFill="0" applyBorder="0" applyAlignment="0" applyProtection="0"/>
    <xf numFmtId="0" fontId="22" fillId="13" borderId="0" applyNumberFormat="0" applyBorder="0" applyAlignment="0" applyProtection="0"/>
    <xf numFmtId="0" fontId="13"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21" fillId="0" borderId="0"/>
    <xf numFmtId="0" fontId="13" fillId="0" borderId="0"/>
    <xf numFmtId="0" fontId="13" fillId="0" borderId="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22" fillId="14" borderId="0" applyBorder="0" applyAlignment="0" applyProtection="0"/>
    <xf numFmtId="0" fontId="33" fillId="0" borderId="0" applyNumberFormat="0" applyFill="0" applyBorder="0" applyAlignment="0" applyProtection="0"/>
  </cellStyleXfs>
  <cellXfs count="215">
    <xf numFmtId="0" fontId="0" fillId="0" borderId="0" xfId="0"/>
    <xf numFmtId="0" fontId="0" fillId="0" borderId="0" xfId="0"/>
    <xf numFmtId="0" fontId="3" fillId="0" borderId="0" xfId="13"/>
    <xf numFmtId="0" fontId="9" fillId="0" borderId="1" xfId="5" applyAlignment="1">
      <alignment wrapText="1"/>
    </xf>
    <xf numFmtId="0" fontId="12" fillId="0" borderId="0" xfId="17"/>
    <xf numFmtId="0" fontId="12" fillId="0" borderId="0" xfId="17" applyAlignment="1">
      <alignment wrapText="1"/>
    </xf>
    <xf numFmtId="0" fontId="12" fillId="10" borderId="0" xfId="17" applyFill="1"/>
    <xf numFmtId="0" fontId="14" fillId="0" borderId="0" xfId="17" applyFont="1"/>
    <xf numFmtId="0" fontId="9" fillId="10" borderId="1" xfId="5" applyFill="1" applyAlignment="1">
      <alignment wrapText="1"/>
    </xf>
    <xf numFmtId="0" fontId="4" fillId="4" borderId="5" xfId="2" applyNumberFormat="1" applyFont="1" applyBorder="1" applyAlignment="1">
      <alignment vertical="center"/>
      <protection locked="0"/>
    </xf>
    <xf numFmtId="0" fontId="25" fillId="4" borderId="5" xfId="2" applyNumberFormat="1" applyFont="1" applyBorder="1" applyAlignment="1">
      <alignment vertical="center"/>
      <protection locked="0"/>
    </xf>
    <xf numFmtId="0" fontId="12" fillId="0" borderId="0" xfId="17" applyFont="1"/>
    <xf numFmtId="0" fontId="4" fillId="0" borderId="0" xfId="17" applyFont="1"/>
    <xf numFmtId="43" fontId="4" fillId="10" borderId="0" xfId="20" applyFont="1" applyFill="1"/>
    <xf numFmtId="0" fontId="4" fillId="0" borderId="0" xfId="17" applyFont="1" applyAlignment="1">
      <alignment wrapText="1"/>
    </xf>
    <xf numFmtId="0" fontId="12" fillId="0" borderId="0" xfId="17" applyFont="1" applyAlignment="1">
      <alignment vertical="center" wrapText="1"/>
    </xf>
    <xf numFmtId="43" fontId="4" fillId="4" borderId="5" xfId="22" applyFont="1" applyFill="1" applyBorder="1" applyAlignment="1" applyProtection="1">
      <alignment vertical="center" wrapText="1"/>
      <protection locked="0"/>
    </xf>
    <xf numFmtId="43" fontId="4" fillId="4" borderId="5" xfId="22" applyFont="1" applyFill="1" applyBorder="1" applyAlignment="1" applyProtection="1">
      <alignment vertical="center"/>
      <protection locked="0"/>
    </xf>
    <xf numFmtId="176" fontId="4" fillId="4" borderId="5" xfId="22" applyNumberFormat="1" applyFont="1" applyFill="1" applyBorder="1" applyAlignment="1" applyProtection="1">
      <alignment vertical="center" wrapText="1"/>
      <protection locked="0"/>
    </xf>
    <xf numFmtId="176" fontId="4" fillId="4" borderId="5" xfId="22" applyNumberFormat="1" applyFont="1" applyFill="1" applyBorder="1" applyAlignment="1" applyProtection="1">
      <alignment vertical="center"/>
      <protection locked="0"/>
    </xf>
    <xf numFmtId="176" fontId="4" fillId="10" borderId="0" xfId="22" applyNumberFormat="1" applyFont="1" applyFill="1"/>
    <xf numFmtId="43" fontId="4" fillId="0" borderId="0" xfId="22" applyFont="1" applyAlignment="1">
      <alignment wrapText="1"/>
    </xf>
    <xf numFmtId="43" fontId="4" fillId="0" borderId="0" xfId="22" applyFont="1" applyAlignment="1">
      <alignment vertical="center" wrapText="1"/>
    </xf>
    <xf numFmtId="43" fontId="26" fillId="4" borderId="5" xfId="22" applyFont="1" applyFill="1" applyBorder="1" applyAlignment="1" applyProtection="1">
      <alignment vertical="center"/>
      <protection locked="0"/>
    </xf>
    <xf numFmtId="43" fontId="25" fillId="4" borderId="5" xfId="22" applyFont="1" applyFill="1" applyBorder="1" applyAlignment="1" applyProtection="1">
      <alignment vertical="center"/>
      <protection locked="0"/>
    </xf>
    <xf numFmtId="43" fontId="4" fillId="0" borderId="0" xfId="22" applyFont="1"/>
    <xf numFmtId="43" fontId="12" fillId="0" borderId="0" xfId="22" applyFont="1"/>
    <xf numFmtId="43" fontId="12" fillId="0" borderId="0" xfId="22" applyFont="1" applyAlignment="1">
      <alignment vertical="center" wrapText="1"/>
    </xf>
    <xf numFmtId="0" fontId="14"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vertical="top"/>
    </xf>
    <xf numFmtId="0" fontId="28" fillId="0" borderId="0" xfId="0" applyFont="1"/>
    <xf numFmtId="177" fontId="0" fillId="0" borderId="0" xfId="0" quotePrefix="1" applyNumberFormat="1" applyAlignment="1">
      <alignment horizontal="left"/>
    </xf>
    <xf numFmtId="0" fontId="14" fillId="0" borderId="0" xfId="0" applyFont="1"/>
    <xf numFmtId="0" fontId="29" fillId="0" borderId="0" xfId="26"/>
    <xf numFmtId="0" fontId="0" fillId="0" borderId="6" xfId="0" applyBorder="1"/>
    <xf numFmtId="0" fontId="25" fillId="4" borderId="6" xfId="2" applyNumberFormat="1" applyFont="1" applyBorder="1" applyAlignment="1">
      <alignment vertical="center"/>
      <protection locked="0"/>
    </xf>
    <xf numFmtId="0" fontId="0" fillId="0" borderId="6" xfId="0" applyBorder="1" applyAlignment="1"/>
    <xf numFmtId="0" fontId="9" fillId="0" borderId="1" xfId="5" applyFill="1" applyAlignment="1">
      <alignment wrapText="1"/>
    </xf>
    <xf numFmtId="0" fontId="9" fillId="0" borderId="1" xfId="5" applyFont="1" applyFill="1" applyBorder="1" applyAlignment="1">
      <alignment wrapText="1"/>
    </xf>
    <xf numFmtId="9" fontId="25" fillId="0" borderId="6" xfId="0" applyNumberFormat="1" applyFont="1" applyBorder="1" applyAlignment="1">
      <alignment horizontal="center"/>
    </xf>
    <xf numFmtId="0" fontId="0" fillId="0" borderId="0" xfId="0" applyFont="1"/>
    <xf numFmtId="43" fontId="26" fillId="4" borderId="5" xfId="22" applyFont="1" applyFill="1" applyBorder="1" applyAlignment="1" applyProtection="1">
      <alignment vertical="center" wrapText="1"/>
      <protection locked="0"/>
    </xf>
    <xf numFmtId="176" fontId="26" fillId="4" borderId="5" xfId="22" applyNumberFormat="1" applyFont="1" applyFill="1" applyBorder="1" applyAlignment="1" applyProtection="1">
      <alignment vertical="center" wrapText="1"/>
      <protection locked="0"/>
    </xf>
    <xf numFmtId="176" fontId="26" fillId="4" borderId="5" xfId="22" applyNumberFormat="1" applyFont="1" applyFill="1" applyBorder="1" applyAlignment="1" applyProtection="1">
      <alignment vertical="center"/>
      <protection locked="0"/>
    </xf>
    <xf numFmtId="178" fontId="26" fillId="4" borderId="5" xfId="22" applyNumberFormat="1" applyFont="1" applyFill="1" applyBorder="1" applyAlignment="1" applyProtection="1">
      <alignment vertical="center" wrapText="1"/>
      <protection locked="0"/>
    </xf>
    <xf numFmtId="4" fontId="30" fillId="0" borderId="0" xfId="17" applyNumberFormat="1" applyFont="1" applyAlignment="1">
      <alignment horizontal="right" vertical="top"/>
    </xf>
    <xf numFmtId="4" fontId="9" fillId="0" borderId="1" xfId="5" applyNumberFormat="1" applyFill="1" applyAlignment="1">
      <alignment wrapText="1"/>
    </xf>
    <xf numFmtId="4" fontId="12" fillId="0" borderId="0" xfId="17" applyNumberFormat="1" applyAlignment="1">
      <alignment wrapText="1"/>
    </xf>
    <xf numFmtId="4" fontId="4" fillId="0" borderId="0" xfId="17" applyNumberFormat="1" applyFont="1" applyAlignment="1">
      <alignment wrapText="1"/>
    </xf>
    <xf numFmtId="0" fontId="0" fillId="11" borderId="6" xfId="0" applyFill="1" applyBorder="1"/>
    <xf numFmtId="0" fontId="0" fillId="10" borderId="11" xfId="0" applyFill="1" applyBorder="1" applyAlignment="1">
      <alignment horizontal="left"/>
    </xf>
    <xf numFmtId="0" fontId="0" fillId="10" borderId="12" xfId="0" applyFill="1" applyBorder="1" applyAlignment="1">
      <alignment horizontal="left"/>
    </xf>
    <xf numFmtId="0" fontId="0" fillId="10" borderId="13" xfId="0" applyFill="1" applyBorder="1" applyAlignment="1">
      <alignment horizontal="left"/>
    </xf>
    <xf numFmtId="43" fontId="4" fillId="11" borderId="5" xfId="22" applyFont="1" applyFill="1" applyBorder="1" applyAlignment="1" applyProtection="1">
      <alignment vertical="center" wrapText="1"/>
      <protection locked="0"/>
    </xf>
    <xf numFmtId="9" fontId="4" fillId="11" borderId="5" xfId="2" applyNumberFormat="1" applyFont="1" applyFill="1" applyBorder="1" applyAlignment="1">
      <alignment horizontal="center" vertical="center"/>
      <protection locked="0"/>
    </xf>
    <xf numFmtId="9" fontId="4" fillId="11" borderId="5" xfId="23" applyFont="1" applyFill="1" applyBorder="1" applyAlignment="1" applyProtection="1">
      <alignment horizontal="center" vertical="center"/>
      <protection locked="0"/>
    </xf>
    <xf numFmtId="0" fontId="31" fillId="4" borderId="6" xfId="26" applyFont="1" applyFill="1" applyBorder="1" applyAlignment="1"/>
    <xf numFmtId="0" fontId="14" fillId="0" borderId="0" xfId="0" applyFont="1" applyFill="1" applyBorder="1"/>
    <xf numFmtId="0" fontId="14" fillId="15" borderId="6" xfId="0" applyFont="1" applyFill="1" applyBorder="1" applyAlignment="1">
      <alignment wrapText="1"/>
    </xf>
    <xf numFmtId="1" fontId="0" fillId="0" borderId="0" xfId="0" applyNumberFormat="1"/>
    <xf numFmtId="164" fontId="0" fillId="0" borderId="0" xfId="0" applyNumberFormat="1"/>
    <xf numFmtId="0" fontId="18" fillId="0" borderId="0" xfId="28" applyFont="1"/>
    <xf numFmtId="0" fontId="19" fillId="0" borderId="0" xfId="28" applyFont="1"/>
    <xf numFmtId="0" fontId="17" fillId="0" borderId="0" xfId="0" applyFont="1"/>
    <xf numFmtId="0" fontId="0" fillId="10" borderId="8" xfId="0" applyFill="1" applyBorder="1" applyAlignment="1">
      <alignment horizontal="left"/>
    </xf>
    <xf numFmtId="0" fontId="0" fillId="10" borderId="9" xfId="0" applyFill="1" applyBorder="1" applyAlignment="1">
      <alignment horizontal="left"/>
    </xf>
    <xf numFmtId="0" fontId="0" fillId="10" borderId="10" xfId="0" applyFill="1" applyBorder="1" applyAlignment="1">
      <alignment horizontal="left"/>
    </xf>
    <xf numFmtId="0" fontId="41" fillId="4" borderId="6" xfId="26" applyFont="1" applyFill="1" applyBorder="1" applyAlignment="1"/>
    <xf numFmtId="0" fontId="29" fillId="0" borderId="0" xfId="26" applyAlignment="1">
      <alignment horizontal="center"/>
    </xf>
    <xf numFmtId="0" fontId="42" fillId="0" borderId="0" xfId="0" applyFont="1"/>
    <xf numFmtId="0" fontId="25" fillId="0" borderId="0" xfId="26" applyFont="1" applyFill="1" applyBorder="1" applyAlignment="1"/>
    <xf numFmtId="0" fontId="19" fillId="0" borderId="0" xfId="28" applyFont="1" applyFill="1"/>
    <xf numFmtId="0" fontId="29" fillId="0" borderId="0" xfId="26" applyAlignment="1">
      <alignment horizontal="left" vertical="center"/>
    </xf>
    <xf numFmtId="0" fontId="14" fillId="0" borderId="0" xfId="0" applyFont="1" applyFill="1"/>
    <xf numFmtId="0" fontId="29" fillId="0" borderId="0" xfId="26" applyFill="1"/>
    <xf numFmtId="0" fontId="40" fillId="0" borderId="0" xfId="0" applyFont="1"/>
    <xf numFmtId="0" fontId="0" fillId="0" borderId="0" xfId="0" applyFont="1" applyFill="1" applyAlignment="1">
      <alignment horizontal="left"/>
    </xf>
    <xf numFmtId="0" fontId="0" fillId="0" borderId="0" xfId="0" applyAlignment="1">
      <alignment vertical="center"/>
    </xf>
    <xf numFmtId="0" fontId="14" fillId="0" borderId="0" xfId="0" applyFont="1" applyAlignment="1">
      <alignment vertical="center"/>
    </xf>
    <xf numFmtId="0" fontId="0" fillId="0" borderId="0" xfId="0" applyFill="1" applyBorder="1"/>
    <xf numFmtId="0" fontId="12" fillId="0" borderId="0" xfId="0" applyFont="1"/>
    <xf numFmtId="0" fontId="4" fillId="0" borderId="0" xfId="0" applyFont="1"/>
    <xf numFmtId="4" fontId="0" fillId="11" borderId="6" xfId="0" applyNumberFormat="1" applyFill="1" applyBorder="1" applyAlignment="1">
      <alignment horizontal="center"/>
    </xf>
    <xf numFmtId="0" fontId="0" fillId="0" borderId="0" xfId="0" applyBorder="1"/>
    <xf numFmtId="173" fontId="0" fillId="11" borderId="6" xfId="0" applyNumberFormat="1" applyFill="1" applyBorder="1" applyAlignment="1">
      <alignment horizontal="center"/>
    </xf>
    <xf numFmtId="1" fontId="0" fillId="0" borderId="0" xfId="0" applyNumberFormat="1" applyFill="1"/>
    <xf numFmtId="0" fontId="0" fillId="0" borderId="0" xfId="0" applyFont="1" applyFill="1"/>
    <xf numFmtId="9" fontId="4" fillId="4" borderId="6" xfId="2" applyNumberFormat="1" applyFont="1" applyBorder="1" applyAlignment="1">
      <alignment horizontal="center" vertical="center"/>
      <protection locked="0"/>
    </xf>
    <xf numFmtId="2" fontId="4" fillId="4" borderId="6" xfId="2" applyNumberFormat="1" applyFont="1" applyBorder="1" applyAlignment="1">
      <alignment horizontal="center" vertical="center"/>
      <protection locked="0"/>
    </xf>
    <xf numFmtId="0" fontId="14" fillId="15" borderId="6" xfId="0" applyFont="1" applyFill="1" applyBorder="1" applyAlignment="1">
      <alignment vertical="center" wrapText="1"/>
    </xf>
    <xf numFmtId="0" fontId="14" fillId="15" borderId="6" xfId="0" applyFont="1" applyFill="1" applyBorder="1" applyAlignment="1">
      <alignment horizontal="center" vertical="center" wrapText="1"/>
    </xf>
    <xf numFmtId="17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32" fillId="0" borderId="6" xfId="26" applyFont="1" applyFill="1" applyBorder="1" applyAlignment="1"/>
    <xf numFmtId="173" fontId="4" fillId="11" borderId="6" xfId="0" applyNumberFormat="1" applyFont="1" applyFill="1" applyBorder="1" applyAlignment="1">
      <alignment horizontal="center"/>
    </xf>
    <xf numFmtId="9" fontId="4" fillId="11" borderId="6" xfId="0" applyNumberFormat="1" applyFont="1" applyFill="1" applyBorder="1" applyAlignment="1">
      <alignment horizontal="center"/>
    </xf>
    <xf numFmtId="0" fontId="45" fillId="0" borderId="0" xfId="0" applyFont="1"/>
    <xf numFmtId="1" fontId="45" fillId="0" borderId="0" xfId="0" applyNumberFormat="1" applyFont="1"/>
    <xf numFmtId="0" fontId="3" fillId="4" borderId="0" xfId="13" applyFill="1"/>
    <xf numFmtId="0" fontId="0" fillId="16" borderId="6" xfId="0" applyFill="1" applyBorder="1"/>
    <xf numFmtId="173" fontId="14" fillId="0" borderId="18" xfId="0" applyNumberFormat="1" applyFont="1" applyBorder="1" applyAlignment="1">
      <alignment horizontal="center"/>
    </xf>
    <xf numFmtId="173" fontId="14" fillId="11" borderId="19" xfId="0" applyNumberFormat="1" applyFont="1" applyFill="1" applyBorder="1" applyAlignment="1">
      <alignment horizontal="center"/>
    </xf>
    <xf numFmtId="0" fontId="29" fillId="11" borderId="6" xfId="26" applyFill="1" applyBorder="1" applyAlignment="1">
      <alignment vertical="center"/>
    </xf>
    <xf numFmtId="0" fontId="45" fillId="0" borderId="6" xfId="0" applyFont="1" applyBorder="1"/>
    <xf numFmtId="0" fontId="0" fillId="0" borderId="6" xfId="0" applyFont="1" applyBorder="1"/>
    <xf numFmtId="170" fontId="20" fillId="0" borderId="6" xfId="19" applyNumberFormat="1" applyFont="1" applyFill="1" applyBorder="1" applyAlignment="1">
      <alignment horizontal="center" vertical="top"/>
    </xf>
    <xf numFmtId="0" fontId="20" fillId="0" borderId="6" xfId="19" applyFont="1" applyFill="1" applyBorder="1" applyAlignment="1">
      <alignment horizontal="center" vertical="top"/>
    </xf>
    <xf numFmtId="166" fontId="21" fillId="0" borderId="6" xfId="19" applyNumberFormat="1" applyFont="1" applyFill="1" applyBorder="1" applyAlignment="1">
      <alignment horizontal="center" vertical="top"/>
    </xf>
    <xf numFmtId="0" fontId="21" fillId="0" borderId="6" xfId="13" applyFont="1" applyBorder="1" applyAlignment="1">
      <alignment vertical="center" wrapText="1"/>
    </xf>
    <xf numFmtId="16" fontId="21" fillId="0" borderId="6" xfId="13" applyNumberFormat="1" applyFont="1" applyBorder="1" applyAlignment="1">
      <alignment vertical="center" wrapText="1"/>
    </xf>
    <xf numFmtId="17" fontId="21" fillId="0" borderId="6" xfId="13" applyNumberFormat="1" applyFont="1" applyBorder="1" applyAlignment="1">
      <alignment vertical="center" wrapText="1"/>
    </xf>
    <xf numFmtId="0" fontId="21" fillId="0" borderId="0" xfId="17" applyFont="1"/>
    <xf numFmtId="0" fontId="20" fillId="15" borderId="6" xfId="5" applyFont="1" applyFill="1" applyBorder="1" applyAlignment="1">
      <alignment wrapText="1"/>
    </xf>
    <xf numFmtId="0" fontId="20" fillId="15" borderId="6" xfId="5" applyFont="1" applyFill="1" applyBorder="1" applyAlignment="1">
      <alignment horizontal="center" wrapText="1"/>
    </xf>
    <xf numFmtId="0" fontId="20" fillId="9" borderId="0" xfId="18" applyFont="1" applyFill="1" applyAlignment="1">
      <alignment vertical="top"/>
    </xf>
    <xf numFmtId="0" fontId="21" fillId="0" borderId="6" xfId="18" applyFont="1" applyFill="1" applyBorder="1" applyAlignment="1">
      <alignment vertical="top"/>
    </xf>
    <xf numFmtId="0" fontId="21" fillId="0" borderId="6" xfId="18" applyFont="1" applyFill="1" applyBorder="1" applyAlignment="1">
      <alignment horizontal="center" vertical="top"/>
    </xf>
    <xf numFmtId="4" fontId="21" fillId="9" borderId="0" xfId="18" applyNumberFormat="1" applyFont="1" applyFill="1" applyAlignment="1">
      <alignment vertical="top"/>
    </xf>
    <xf numFmtId="166" fontId="21" fillId="0" borderId="6" xfId="18" applyNumberFormat="1" applyFont="1" applyFill="1" applyBorder="1" applyAlignment="1">
      <alignment horizontal="center" vertical="top"/>
    </xf>
    <xf numFmtId="167" fontId="21" fillId="9" borderId="0" xfId="18" applyNumberFormat="1" applyFont="1" applyFill="1" applyAlignment="1">
      <alignment vertical="top"/>
    </xf>
    <xf numFmtId="3" fontId="21" fillId="0" borderId="6" xfId="18" applyNumberFormat="1" applyFont="1" applyFill="1" applyBorder="1" applyAlignment="1">
      <alignment horizontal="center" vertical="top"/>
    </xf>
    <xf numFmtId="168" fontId="20" fillId="9" borderId="0" xfId="18" applyNumberFormat="1" applyFont="1" applyFill="1" applyAlignment="1">
      <alignment vertical="top"/>
    </xf>
    <xf numFmtId="165" fontId="21" fillId="0" borderId="6" xfId="18" applyNumberFormat="1" applyFont="1" applyFill="1" applyBorder="1" applyAlignment="1">
      <alignment horizontal="center" vertical="top"/>
    </xf>
    <xf numFmtId="4" fontId="20" fillId="9" borderId="0" xfId="18" applyNumberFormat="1" applyFont="1" applyFill="1" applyAlignment="1">
      <alignment vertical="top"/>
    </xf>
    <xf numFmtId="0" fontId="21" fillId="9" borderId="0" xfId="18" applyFont="1" applyFill="1" applyAlignment="1">
      <alignment vertical="top"/>
    </xf>
    <xf numFmtId="165" fontId="21" fillId="9" borderId="0" xfId="18" applyNumberFormat="1" applyFont="1" applyFill="1" applyAlignment="1">
      <alignment vertical="top"/>
    </xf>
    <xf numFmtId="169" fontId="21" fillId="0" borderId="6" xfId="18" applyNumberFormat="1" applyFont="1" applyFill="1" applyBorder="1" applyAlignment="1">
      <alignment horizontal="center" vertical="top"/>
    </xf>
    <xf numFmtId="164" fontId="21" fillId="0" borderId="6" xfId="18" applyNumberFormat="1" applyFont="1" applyFill="1" applyBorder="1" applyAlignment="1">
      <alignment horizontal="center" vertical="top"/>
    </xf>
    <xf numFmtId="170" fontId="20" fillId="0" borderId="6" xfId="18" applyNumberFormat="1" applyFont="1" applyFill="1" applyBorder="1" applyAlignment="1">
      <alignment horizontal="center" vertical="top"/>
    </xf>
    <xf numFmtId="4" fontId="21" fillId="0" borderId="6" xfId="18" applyNumberFormat="1" applyFont="1" applyFill="1" applyBorder="1" applyAlignment="1">
      <alignment horizontal="center" vertical="top"/>
    </xf>
    <xf numFmtId="170" fontId="21" fillId="0" borderId="6" xfId="18" applyNumberFormat="1" applyFont="1" applyFill="1" applyBorder="1" applyAlignment="1">
      <alignment horizontal="center" vertical="top"/>
    </xf>
    <xf numFmtId="171" fontId="21" fillId="0" borderId="6" xfId="18" applyNumberFormat="1" applyFont="1" applyFill="1" applyBorder="1" applyAlignment="1">
      <alignment horizontal="center" vertical="top"/>
    </xf>
    <xf numFmtId="1" fontId="21" fillId="0" borderId="6" xfId="18" applyNumberFormat="1" applyFont="1" applyFill="1" applyBorder="1" applyAlignment="1">
      <alignment horizontal="center" vertical="top"/>
    </xf>
    <xf numFmtId="172" fontId="21" fillId="0" borderId="6" xfId="18" applyNumberFormat="1" applyFont="1" applyFill="1" applyBorder="1" applyAlignment="1">
      <alignment horizontal="center" vertical="top"/>
    </xf>
    <xf numFmtId="169" fontId="20" fillId="0" borderId="6" xfId="18" applyNumberFormat="1" applyFont="1" applyFill="1" applyBorder="1" applyAlignment="1">
      <alignment horizontal="center" vertical="top"/>
    </xf>
    <xf numFmtId="166" fontId="20" fillId="9" borderId="0" xfId="18" applyNumberFormat="1" applyFont="1" applyFill="1" applyAlignment="1">
      <alignment vertical="top"/>
    </xf>
    <xf numFmtId="173" fontId="21" fillId="0" borderId="6" xfId="18" applyNumberFormat="1" applyFont="1" applyFill="1" applyBorder="1" applyAlignment="1">
      <alignment horizontal="center" vertical="top"/>
    </xf>
    <xf numFmtId="174" fontId="21" fillId="0" borderId="6" xfId="18" applyNumberFormat="1" applyFont="1" applyFill="1" applyBorder="1" applyAlignment="1">
      <alignment horizontal="center" vertical="top"/>
    </xf>
    <xf numFmtId="2" fontId="21" fillId="0" borderId="6" xfId="18" applyNumberFormat="1" applyFont="1" applyFill="1" applyBorder="1" applyAlignment="1">
      <alignment horizontal="center" vertical="top"/>
    </xf>
    <xf numFmtId="0" fontId="21" fillId="0" borderId="0" xfId="17" applyFont="1" applyFill="1"/>
    <xf numFmtId="175" fontId="21" fillId="0" borderId="6" xfId="18" applyNumberFormat="1" applyFont="1" applyFill="1" applyBorder="1" applyAlignment="1">
      <alignment horizontal="center" vertical="top"/>
    </xf>
    <xf numFmtId="0" fontId="20" fillId="0" borderId="6" xfId="18" applyFont="1" applyFill="1" applyBorder="1" applyAlignment="1">
      <alignment vertical="top"/>
    </xf>
    <xf numFmtId="0" fontId="20" fillId="0" borderId="0" xfId="18" applyFont="1" applyFill="1" applyAlignment="1">
      <alignment vertical="top"/>
    </xf>
    <xf numFmtId="0" fontId="21" fillId="0" borderId="0" xfId="18" applyFont="1" applyFill="1" applyAlignment="1">
      <alignment vertical="top"/>
    </xf>
    <xf numFmtId="165" fontId="21" fillId="0" borderId="0" xfId="18" applyNumberFormat="1" applyFont="1" applyFill="1" applyAlignment="1">
      <alignment vertical="top"/>
    </xf>
    <xf numFmtId="0" fontId="21" fillId="0" borderId="0" xfId="17" applyFont="1" applyFill="1" applyBorder="1"/>
    <xf numFmtId="0" fontId="21" fillId="0" borderId="0" xfId="17" applyFont="1" applyAlignment="1">
      <alignment horizontal="left"/>
    </xf>
    <xf numFmtId="0" fontId="21" fillId="10" borderId="6" xfId="17" applyFont="1" applyFill="1" applyBorder="1" applyAlignment="1">
      <alignment horizontal="left"/>
    </xf>
    <xf numFmtId="0" fontId="49" fillId="0" borderId="6" xfId="26" applyFont="1" applyBorder="1"/>
    <xf numFmtId="0" fontId="49" fillId="0" borderId="6" xfId="26" applyFont="1" applyBorder="1" applyAlignment="1"/>
    <xf numFmtId="0" fontId="21" fillId="0" borderId="0" xfId="17" applyFont="1" applyBorder="1"/>
    <xf numFmtId="0" fontId="14" fillId="15" borderId="6" xfId="0" applyFont="1" applyFill="1" applyBorder="1"/>
    <xf numFmtId="0" fontId="0" fillId="15" borderId="6" xfId="0" applyFill="1" applyBorder="1"/>
    <xf numFmtId="0" fontId="48" fillId="15" borderId="6" xfId="0" applyFont="1" applyFill="1" applyBorder="1" applyAlignment="1">
      <alignment horizontal="center"/>
    </xf>
    <xf numFmtId="0" fontId="38" fillId="15" borderId="6" xfId="0" applyFont="1" applyFill="1" applyBorder="1" applyAlignment="1">
      <alignment horizontal="center"/>
    </xf>
    <xf numFmtId="171" fontId="47" fillId="0" borderId="6" xfId="0" applyNumberFormat="1" applyFont="1" applyFill="1" applyBorder="1" applyAlignment="1">
      <alignment horizontal="center"/>
    </xf>
    <xf numFmtId="0" fontId="0" fillId="0" borderId="6" xfId="0" applyBorder="1" applyAlignment="1">
      <alignment horizontal="center"/>
    </xf>
    <xf numFmtId="0" fontId="4" fillId="0" borderId="6" xfId="26" applyFont="1" applyFill="1" applyBorder="1" applyAlignment="1">
      <alignment wrapText="1"/>
    </xf>
    <xf numFmtId="0" fontId="4" fillId="0" borderId="0" xfId="0" applyFont="1" applyFill="1"/>
    <xf numFmtId="0" fontId="0" fillId="4" borderId="0" xfId="0" applyFill="1"/>
    <xf numFmtId="0" fontId="14" fillId="4" borderId="0" xfId="0" applyFont="1" applyFill="1"/>
    <xf numFmtId="0" fontId="18" fillId="0" borderId="0" xfId="28" applyFont="1" applyFill="1" applyBorder="1"/>
    <xf numFmtId="1" fontId="0" fillId="0" borderId="0" xfId="0" applyNumberFormat="1" applyFill="1" applyBorder="1"/>
    <xf numFmtId="164" fontId="0" fillId="0" borderId="0" xfId="0" applyNumberFormat="1" applyFill="1" applyBorder="1"/>
    <xf numFmtId="0" fontId="20" fillId="9" borderId="0" xfId="19" applyFont="1" applyFill="1"/>
    <xf numFmtId="0" fontId="20" fillId="0" borderId="0" xfId="19" applyFont="1" applyFill="1"/>
    <xf numFmtId="0" fontId="20" fillId="10" borderId="0" xfId="18" applyFont="1" applyFill="1" applyBorder="1" applyAlignment="1">
      <alignment vertical="top"/>
    </xf>
    <xf numFmtId="0" fontId="20" fillId="0" borderId="0" xfId="10" applyFont="1" applyBorder="1"/>
    <xf numFmtId="0" fontId="21" fillId="0" borderId="0" xfId="10" applyFont="1" applyBorder="1"/>
    <xf numFmtId="0" fontId="21" fillId="0" borderId="0" xfId="14" applyFont="1" applyFill="1" applyBorder="1"/>
    <xf numFmtId="0" fontId="0" fillId="0" borderId="0" xfId="0" applyAlignment="1">
      <alignment horizontal="left" vertical="top"/>
    </xf>
    <xf numFmtId="0" fontId="0" fillId="0" borderId="8" xfId="0" applyBorder="1"/>
    <xf numFmtId="0" fontId="0" fillId="0" borderId="10" xfId="0" applyBorder="1"/>
    <xf numFmtId="0" fontId="29" fillId="4" borderId="6" xfId="26" applyFill="1" applyBorder="1" applyAlignment="1">
      <alignment vertical="center"/>
    </xf>
    <xf numFmtId="0" fontId="29" fillId="15" borderId="6" xfId="26" applyFill="1" applyBorder="1" applyAlignment="1">
      <alignment vertical="center"/>
    </xf>
    <xf numFmtId="0" fontId="38" fillId="0" borderId="0" xfId="13" applyFont="1"/>
    <xf numFmtId="0" fontId="25" fillId="15" borderId="0" xfId="17" applyFont="1" applyFill="1"/>
    <xf numFmtId="43" fontId="25" fillId="15" borderId="0" xfId="20" applyFont="1" applyFill="1"/>
    <xf numFmtId="0" fontId="14" fillId="15" borderId="0" xfId="17" applyFont="1" applyFill="1"/>
    <xf numFmtId="0" fontId="25" fillId="15" borderId="0" xfId="17" applyFont="1" applyFill="1" applyAlignment="1">
      <alignment wrapText="1"/>
    </xf>
    <xf numFmtId="0" fontId="9" fillId="15" borderId="0" xfId="10" applyFont="1" applyFill="1" applyBorder="1" applyAlignment="1">
      <alignment vertical="center"/>
    </xf>
    <xf numFmtId="0" fontId="51" fillId="4" borderId="5" xfId="2" applyNumberFormat="1" applyFont="1" applyBorder="1" applyAlignment="1">
      <alignment vertical="center"/>
      <protection locked="0"/>
    </xf>
    <xf numFmtId="0" fontId="26" fillId="4" borderId="5" xfId="2" applyNumberFormat="1" applyFont="1" applyBorder="1" applyAlignment="1">
      <alignment vertical="center"/>
      <protection locked="0"/>
    </xf>
    <xf numFmtId="4" fontId="4" fillId="11" borderId="5" xfId="22" applyNumberFormat="1" applyFont="1" applyFill="1" applyBorder="1" applyAlignment="1" applyProtection="1">
      <alignment vertical="center"/>
      <protection locked="0"/>
    </xf>
    <xf numFmtId="4" fontId="4" fillId="0" borderId="0" xfId="22" applyNumberFormat="1" applyFont="1" applyAlignment="1"/>
    <xf numFmtId="4" fontId="4" fillId="0" borderId="0" xfId="22" applyNumberFormat="1" applyFont="1" applyAlignment="1">
      <alignment vertical="center"/>
    </xf>
    <xf numFmtId="4" fontId="14" fillId="11" borderId="6" xfId="17" applyNumberFormat="1" applyFont="1" applyFill="1" applyBorder="1" applyAlignment="1">
      <alignment wrapText="1"/>
    </xf>
    <xf numFmtId="0" fontId="52" fillId="0" borderId="0" xfId="0" applyFont="1" applyAlignment="1">
      <alignment vertical="top"/>
    </xf>
    <xf numFmtId="0" fontId="29" fillId="10" borderId="0" xfId="26" applyFill="1"/>
    <xf numFmtId="0" fontId="32" fillId="0" borderId="0" xfId="26" applyFont="1" applyFill="1" applyBorder="1" applyAlignment="1"/>
    <xf numFmtId="9" fontId="0" fillId="11" borderId="6" xfId="0" applyNumberFormat="1" applyFill="1" applyBorder="1" applyAlignment="1">
      <alignment horizontal="center"/>
    </xf>
    <xf numFmtId="0" fontId="25" fillId="4" borderId="6" xfId="2" applyNumberFormat="1" applyFont="1" applyBorder="1" applyAlignment="1">
      <alignment horizontal="right" vertical="center"/>
      <protection locked="0"/>
    </xf>
    <xf numFmtId="177" fontId="0" fillId="0" borderId="0" xfId="0" quotePrefix="1" applyNumberFormat="1" applyAlignment="1">
      <alignment horizontal="righ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10" borderId="8" xfId="0" applyFill="1" applyBorder="1" applyAlignment="1">
      <alignment horizontal="left"/>
    </xf>
    <xf numFmtId="0" fontId="0" fillId="10" borderId="9" xfId="0" applyFill="1" applyBorder="1" applyAlignment="1">
      <alignment horizontal="left"/>
    </xf>
    <xf numFmtId="0" fontId="0" fillId="10" borderId="10" xfId="0" applyFill="1" applyBorder="1" applyAlignment="1">
      <alignment horizontal="left"/>
    </xf>
    <xf numFmtId="0" fontId="0" fillId="10" borderId="11" xfId="0" applyFont="1" applyFill="1" applyBorder="1" applyAlignment="1">
      <alignment horizontal="left" vertical="center" wrapText="1"/>
    </xf>
    <xf numFmtId="0" fontId="0" fillId="10" borderId="12" xfId="0" applyFont="1" applyFill="1" applyBorder="1" applyAlignment="1">
      <alignment horizontal="left" vertical="center"/>
    </xf>
    <xf numFmtId="0" fontId="0" fillId="10" borderId="13" xfId="0" applyFont="1" applyFill="1" applyBorder="1" applyAlignment="1">
      <alignment horizontal="left" vertical="center"/>
    </xf>
    <xf numFmtId="0" fontId="0" fillId="10" borderId="7" xfId="0" applyFont="1" applyFill="1" applyBorder="1" applyAlignment="1">
      <alignment horizontal="left" vertical="center"/>
    </xf>
    <xf numFmtId="0" fontId="0" fillId="10" borderId="0" xfId="0" applyFont="1" applyFill="1" applyBorder="1" applyAlignment="1">
      <alignment horizontal="left" vertical="center"/>
    </xf>
    <xf numFmtId="0" fontId="0" fillId="10" borderId="14" xfId="0" applyFont="1" applyFill="1" applyBorder="1" applyAlignment="1">
      <alignment horizontal="left" vertical="center"/>
    </xf>
    <xf numFmtId="0" fontId="0" fillId="10" borderId="15" xfId="0" applyFont="1" applyFill="1" applyBorder="1" applyAlignment="1">
      <alignment horizontal="left" vertical="center"/>
    </xf>
    <xf numFmtId="0" fontId="0" fillId="10" borderId="16" xfId="0" applyFont="1" applyFill="1" applyBorder="1" applyAlignment="1">
      <alignment horizontal="left" vertical="center"/>
    </xf>
    <xf numFmtId="0" fontId="0" fillId="10" borderId="17" xfId="0" applyFont="1" applyFill="1" applyBorder="1" applyAlignment="1">
      <alignment horizontal="left"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67">
    <cellStyle name="60% - Accent1 4 2" xfId="31" xr:uid="{00000000-0005-0000-0000-000000000000}"/>
    <cellStyle name="Calculation - 1" xfId="3" xr:uid="{00000000-0005-0000-0000-000001000000}"/>
    <cellStyle name="Calculation - 2" xfId="1" xr:uid="{00000000-0005-0000-0000-000002000000}"/>
    <cellStyle name="Calculation - 3" xfId="11" xr:uid="{00000000-0005-0000-0000-000003000000}"/>
    <cellStyle name="Comma" xfId="22" builtinId="3"/>
    <cellStyle name="Comma 141" xfId="32" xr:uid="{00000000-0005-0000-0000-000005000000}"/>
    <cellStyle name="Comma 2" xfId="20" xr:uid="{00000000-0005-0000-0000-000006000000}"/>
    <cellStyle name="Comma 5" xfId="16" xr:uid="{00000000-0005-0000-0000-000007000000}"/>
    <cellStyle name="Free Entry" xfId="2" xr:uid="{00000000-0005-0000-0000-000008000000}"/>
    <cellStyle name="Heading - 1" xfId="5" xr:uid="{00000000-0005-0000-0000-000009000000}"/>
    <cellStyle name="Heading - 2" xfId="9" xr:uid="{00000000-0005-0000-0000-00000A000000}"/>
    <cellStyle name="Hyperlink" xfId="26" builtinId="8"/>
    <cellStyle name="Linked Cell 2 8" xfId="33" xr:uid="{00000000-0005-0000-0000-00000C000000}"/>
    <cellStyle name="Listed Input" xfId="12" xr:uid="{00000000-0005-0000-0000-00000D000000}"/>
    <cellStyle name="Listed Input 2" xfId="21" xr:uid="{00000000-0005-0000-0000-00000E000000}"/>
    <cellStyle name="Named Range" xfId="8" xr:uid="{00000000-0005-0000-0000-00000F000000}"/>
    <cellStyle name="Normal" xfId="0" builtinId="0" customBuiltin="1"/>
    <cellStyle name="Normal - Style1 2" xfId="34" xr:uid="{00000000-0005-0000-0000-000011000000}"/>
    <cellStyle name="Normal 10 10" xfId="35" xr:uid="{00000000-0005-0000-0000-000012000000}"/>
    <cellStyle name="Normal 10 10 4" xfId="36" xr:uid="{00000000-0005-0000-0000-000013000000}"/>
    <cellStyle name="Normal 10 10 5" xfId="37" xr:uid="{00000000-0005-0000-0000-000014000000}"/>
    <cellStyle name="Normal 10 13" xfId="38" xr:uid="{00000000-0005-0000-0000-000015000000}"/>
    <cellStyle name="Normal 119" xfId="39" xr:uid="{00000000-0005-0000-0000-000016000000}"/>
    <cellStyle name="Normal 119 2" xfId="40" xr:uid="{00000000-0005-0000-0000-000017000000}"/>
    <cellStyle name="Normal 134 2 2" xfId="41" xr:uid="{00000000-0005-0000-0000-000018000000}"/>
    <cellStyle name="Normal 155 2" xfId="42" xr:uid="{00000000-0005-0000-0000-000019000000}"/>
    <cellStyle name="Normal 156" xfId="43" xr:uid="{00000000-0005-0000-0000-00001A000000}"/>
    <cellStyle name="Normal 157" xfId="44" xr:uid="{00000000-0005-0000-0000-00001B000000}"/>
    <cellStyle name="Normal 164" xfId="45" xr:uid="{00000000-0005-0000-0000-00001C000000}"/>
    <cellStyle name="Normal 165" xfId="46" xr:uid="{00000000-0005-0000-0000-00001D000000}"/>
    <cellStyle name="Normal 166" xfId="47" xr:uid="{00000000-0005-0000-0000-00001E000000}"/>
    <cellStyle name="Normal 167" xfId="48" xr:uid="{00000000-0005-0000-0000-00001F000000}"/>
    <cellStyle name="Normal 168" xfId="49" xr:uid="{00000000-0005-0000-0000-000020000000}"/>
    <cellStyle name="Normal 169" xfId="50" xr:uid="{00000000-0005-0000-0000-000021000000}"/>
    <cellStyle name="Normal 170" xfId="51" xr:uid="{00000000-0005-0000-0000-000022000000}"/>
    <cellStyle name="Normal 2" xfId="13" xr:uid="{00000000-0005-0000-0000-000023000000}"/>
    <cellStyle name="Normal 2 10" xfId="52" xr:uid="{00000000-0005-0000-0000-000024000000}"/>
    <cellStyle name="Normal 2 2" xfId="30" xr:uid="{00000000-0005-0000-0000-000025000000}"/>
    <cellStyle name="Normal 2 2 9 3" xfId="53" xr:uid="{00000000-0005-0000-0000-000026000000}"/>
    <cellStyle name="Normal 2 24" xfId="54" xr:uid="{00000000-0005-0000-0000-000027000000}"/>
    <cellStyle name="Normal 2 25" xfId="55" xr:uid="{00000000-0005-0000-0000-000028000000}"/>
    <cellStyle name="Normal 2 61" xfId="17" xr:uid="{00000000-0005-0000-0000-000029000000}"/>
    <cellStyle name="Normal 3" xfId="24" xr:uid="{00000000-0005-0000-0000-00002A000000}"/>
    <cellStyle name="Normal 3 2" xfId="56" xr:uid="{00000000-0005-0000-0000-00002B000000}"/>
    <cellStyle name="Normal 3 2 2" xfId="29" xr:uid="{00000000-0005-0000-0000-00002C000000}"/>
    <cellStyle name="Normal 4" xfId="14" xr:uid="{00000000-0005-0000-0000-00002D000000}"/>
    <cellStyle name="Normal 4 2" xfId="15" xr:uid="{00000000-0005-0000-0000-00002E000000}"/>
    <cellStyle name="Normal 5" xfId="28" xr:uid="{00000000-0005-0000-0000-00002F000000}"/>
    <cellStyle name="Normal 56" xfId="27" xr:uid="{00000000-0005-0000-0000-000030000000}"/>
    <cellStyle name="Normal 83" xfId="57" xr:uid="{00000000-0005-0000-0000-000031000000}"/>
    <cellStyle name="Normal_Conversion_gal and bbl_final1_updated" xfId="18" xr:uid="{00000000-0005-0000-0000-000032000000}"/>
    <cellStyle name="Normal_European Ethanol SD model_15_clean" xfId="19" xr:uid="{00000000-0005-0000-0000-000034000000}"/>
    <cellStyle name="Percent" xfId="23" builtinId="5"/>
    <cellStyle name="Percent 2" xfId="25" xr:uid="{00000000-0005-0000-0000-000036000000}"/>
    <cellStyle name="Percent 2 14" xfId="58" xr:uid="{00000000-0005-0000-0000-000037000000}"/>
    <cellStyle name="Percent 2 21 2" xfId="59" xr:uid="{00000000-0005-0000-0000-000038000000}"/>
    <cellStyle name="Percent 7 2 2 2 2" xfId="60" xr:uid="{00000000-0005-0000-0000-000039000000}"/>
    <cellStyle name="Percent 87" xfId="61" xr:uid="{00000000-0005-0000-0000-00003A000000}"/>
    <cellStyle name="Percent 90" xfId="62" xr:uid="{00000000-0005-0000-0000-00003B000000}"/>
    <cellStyle name="Percent 92" xfId="63" xr:uid="{00000000-0005-0000-0000-00003C000000}"/>
    <cellStyle name="Percent 98" xfId="64" xr:uid="{00000000-0005-0000-0000-00003D000000}"/>
    <cellStyle name="Reference" xfId="7" xr:uid="{00000000-0005-0000-0000-00003E000000}"/>
    <cellStyle name="Sheet Title" xfId="4" xr:uid="{00000000-0005-0000-0000-00003F000000}"/>
    <cellStyle name="Sub heading - 1" xfId="10" xr:uid="{00000000-0005-0000-0000-000040000000}"/>
    <cellStyle name="Sub heading - 2" xfId="6" xr:uid="{00000000-0005-0000-0000-000041000000}"/>
    <cellStyle name="Title 1" xfId="65" xr:uid="{00000000-0005-0000-0000-000042000000}"/>
    <cellStyle name="Title 3 2" xfId="66" xr:uid="{00000000-0005-0000-0000-000043000000}"/>
  </cellStyles>
  <dxfs count="48">
    <dxf>
      <fill>
        <patternFill>
          <bgColor rgb="FFFF0000"/>
        </patternFill>
      </fill>
    </dxf>
    <dxf>
      <fill>
        <patternFill>
          <bgColor rgb="FFFFC000"/>
        </patternFill>
      </fill>
    </dxf>
    <dxf>
      <fill>
        <patternFill patternType="solid">
          <fgColor theme="7" tint="0.59999389629810485"/>
          <bgColor theme="7" tint="0.59999389629810485"/>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
      <fill>
        <patternFill patternType="solid">
          <fgColor theme="7" tint="0.79998168889431442"/>
          <bgColor theme="7" tint="0.79998168889431442"/>
        </patternFill>
      </fill>
    </dxf>
    <dxf>
      <fill>
        <patternFill patternType="solid">
          <fgColor theme="7" tint="0.79995117038483843"/>
          <bgColor theme="7" tint="0.59996337778862885"/>
        </patternFill>
      </fill>
    </dxf>
    <dxf>
      <font>
        <b/>
        <color theme="7" tint="-0.249977111117893"/>
      </font>
    </dxf>
    <dxf>
      <font>
        <b/>
        <color theme="7" tint="-0.249977111117893"/>
      </font>
    </dxf>
    <dxf>
      <font>
        <b/>
        <color theme="7" tint="-0.249977111117893"/>
      </font>
      <border>
        <top style="thin">
          <color theme="7"/>
        </top>
      </border>
    </dxf>
    <dxf>
      <font>
        <b/>
        <i val="0"/>
        <color theme="7" tint="-0.499984740745262"/>
      </font>
      <border>
        <bottom style="thin">
          <color theme="7"/>
        </bottom>
      </border>
    </dxf>
    <dxf>
      <font>
        <color theme="7" tint="-0.499984740745262"/>
      </font>
      <border>
        <top style="thin">
          <color theme="7"/>
        </top>
        <bottom style="thin">
          <color theme="7"/>
        </bottom>
      </border>
    </dxf>
    <dxf>
      <fill>
        <patternFill patternType="solid">
          <fgColor theme="6" tint="0.79998168889431442"/>
          <bgColor theme="6" tint="0.79998168889431442"/>
        </patternFill>
      </fill>
    </dxf>
    <dxf>
      <fill>
        <patternFill patternType="solid">
          <fgColor theme="6" tint="0.79995117038483843"/>
          <bgColor theme="6" tint="0.59996337778862885"/>
        </patternFill>
      </fill>
    </dxf>
    <dxf>
      <font>
        <b/>
        <color theme="6" tint="-0.249977111117893"/>
      </font>
    </dxf>
    <dxf>
      <font>
        <b/>
        <color theme="6" tint="-0.249977111117893"/>
      </font>
    </dxf>
    <dxf>
      <font>
        <b/>
        <color theme="6" tint="-0.249977111117893"/>
      </font>
      <border>
        <top style="thin">
          <color theme="6"/>
        </top>
      </border>
    </dxf>
    <dxf>
      <font>
        <b/>
        <i val="0"/>
        <color theme="5"/>
      </font>
      <border>
        <bottom style="thin">
          <color theme="6"/>
        </bottom>
      </border>
    </dxf>
    <dxf>
      <font>
        <color auto="1"/>
      </font>
      <border>
        <top style="thin">
          <color theme="6"/>
        </top>
        <bottom style="thin">
          <color theme="6"/>
        </bottom>
      </border>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7"/>
        </patternFill>
      </fill>
    </dxf>
    <dxf>
      <font>
        <color theme="1"/>
      </font>
      <border>
        <left style="thin">
          <color theme="7"/>
        </left>
        <right style="thin">
          <color theme="7"/>
        </right>
        <top style="thin">
          <color theme="7"/>
        </top>
        <bottom style="thin">
          <color theme="7"/>
        </bottom>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i val="0"/>
        <color theme="0"/>
      </font>
      <fill>
        <patternFill patternType="solid">
          <fgColor theme="6"/>
          <bgColor theme="6"/>
        </patternFill>
      </fill>
    </dxf>
    <dxf>
      <font>
        <color theme="1"/>
      </font>
      <border>
        <left style="thin">
          <color theme="6"/>
        </left>
        <right style="thin">
          <color theme="6"/>
        </right>
        <top style="thin">
          <color theme="6"/>
        </top>
        <bottom style="thin">
          <color theme="6"/>
        </bottom>
      </border>
    </dxf>
  </dxfs>
  <tableStyles count="6" defaultTableStyle="TableStyleMedium2" defaultPivotStyle="PivotStyleLight16">
    <tableStyle name="E4tech Table Style_1" pivot="0" count="9"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secondRowStripe" dxfId="41"/>
      <tableStyleElement type="firstColumnStripe" dxfId="40"/>
      <tableStyleElement type="secondColumnStripe" dxfId="39"/>
    </tableStyle>
    <tableStyle name="E4tech Table Style_2" pivot="0" count="9" xr9:uid="{00000000-0011-0000-FFFF-FFFF01000000}">
      <tableStyleElement type="wholeTable" dxfId="38"/>
      <tableStyleElement type="headerRow" dxfId="37"/>
      <tableStyleElement type="totalRow" dxfId="36"/>
      <tableStyleElement type="firstColumn" dxfId="35"/>
      <tableStyleElement type="lastColumn" dxfId="34"/>
      <tableStyleElement type="firstRowStripe" dxfId="33"/>
      <tableStyleElement type="secondRowStripe" dxfId="32"/>
      <tableStyleElement type="firstColumnStripe" dxfId="31"/>
      <tableStyleElement type="secondColumnStripe" dxfId="30"/>
    </tableStyle>
    <tableStyle name="E4tech Table Style_3" pivot="0" count="7" xr9:uid="{00000000-0011-0000-FFFF-FFFF02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E4tech Table Style_4" pivot="0" count="7" xr9:uid="{00000000-0011-0000-FFFF-FFFF03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E4tech Table Style_5" pivot="0" count="7" xr9:uid="{00000000-0011-0000-FFFF-FFFF04000000}">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 name="E4tech Table Style_6" pivot="0" count="7" xr9:uid="{00000000-0011-0000-FFFF-FFFF05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5B9BD5"/>
      <color rgb="FFFF66CC"/>
      <color rgb="FFFFE6CD"/>
      <color rgb="FF000000"/>
      <color rgb="FF6AB0E0"/>
      <color rgb="FF1B429A"/>
      <color rgb="FFD3CAE0"/>
      <color rgb="FF957FB5"/>
      <color rgb="FF1383BD"/>
      <color rgb="FF8CB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67235</xdr:colOff>
      <xdr:row>1</xdr:row>
      <xdr:rowOff>44823</xdr:rowOff>
    </xdr:from>
    <xdr:to>
      <xdr:col>5</xdr:col>
      <xdr:colOff>257735</xdr:colOff>
      <xdr:row>24</xdr:row>
      <xdr:rowOff>78440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95835" y="235323"/>
          <a:ext cx="5048250" cy="4100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179295</xdr:colOff>
      <xdr:row>2</xdr:row>
      <xdr:rowOff>15234</xdr:rowOff>
    </xdr:from>
    <xdr:to>
      <xdr:col>2</xdr:col>
      <xdr:colOff>2403119</xdr:colOff>
      <xdr:row>6</xdr:row>
      <xdr:rowOff>149793</xdr:rowOff>
    </xdr:to>
    <xdr:pic>
      <xdr:nvPicPr>
        <xdr:cNvPr id="3" name="Picture 2">
          <a:extLst>
            <a:ext uri="{FF2B5EF4-FFF2-40B4-BE49-F238E27FC236}">
              <a16:creationId xmlns:a16="http://schemas.microsoft.com/office/drawing/2014/main" id="{D2197B64-4087-4E56-9968-6CF69499DE5E}"/>
            </a:ext>
          </a:extLst>
        </xdr:cNvPr>
        <xdr:cNvPicPr>
          <a:picLocks noChangeAspect="1"/>
        </xdr:cNvPicPr>
      </xdr:nvPicPr>
      <xdr:blipFill>
        <a:blip xmlns:r="http://schemas.openxmlformats.org/officeDocument/2006/relationships" r:embed="rId1"/>
        <a:stretch>
          <a:fillRect/>
        </a:stretch>
      </xdr:blipFill>
      <xdr:spPr>
        <a:xfrm>
          <a:off x="896471" y="396234"/>
          <a:ext cx="2156588" cy="89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16D56EEA-87C0-4648-A836-CAEC028B269B}"/>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FE250B03-4B59-4DA0-8EC7-22058725433E}"/>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CE280629-4D7E-4D71-BEC0-C1860DA515D5}"/>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230E0BF9-B119-4C8A-BA1F-D2CEEBDA6AFC}"/>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6" name="TextBox 17">
          <a:extLst>
            <a:ext uri="{FF2B5EF4-FFF2-40B4-BE49-F238E27FC236}">
              <a16:creationId xmlns:a16="http://schemas.microsoft.com/office/drawing/2014/main" id="{DC4D3C91-631E-41E4-8CD1-6784F1FEA3FD}"/>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D5FD1323-F1DF-48CA-B102-7A791A469854}"/>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C0273191-EADD-43E3-8E2A-F88683CD5B1F}"/>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A7AD939E-BA78-4E41-A414-E165C15BAAC5}"/>
            </a:ext>
          </a:extLst>
        </xdr:cNvPr>
        <xdr:cNvSpPr txBox="1"/>
      </xdr:nvSpPr>
      <xdr:spPr>
        <a:xfrm>
          <a:off x="357188" y="1785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4466AF71-85BC-47FA-9D60-B5A67B2A64F6}"/>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F59FCD3D-16E7-416A-A88D-698E39EA0C55}"/>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2653889</xdr:colOff>
      <xdr:row>1</xdr:row>
      <xdr:rowOff>790126</xdr:rowOff>
    </xdr:to>
    <xdr:sp macro="" textlink="">
      <xdr:nvSpPr>
        <xdr:cNvPr id="3" name="TextBox 17">
          <a:extLst>
            <a:ext uri="{FF2B5EF4-FFF2-40B4-BE49-F238E27FC236}">
              <a16:creationId xmlns:a16="http://schemas.microsoft.com/office/drawing/2014/main" id="{C9A09EE4-A337-4039-8A27-520A9D868921}"/>
            </a:ext>
          </a:extLst>
        </xdr:cNvPr>
        <xdr:cNvSpPr txBox="1"/>
      </xdr:nvSpPr>
      <xdr:spPr>
        <a:xfrm>
          <a:off x="358588" y="179294"/>
          <a:ext cx="4368389" cy="79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Values in </a:t>
          </a:r>
          <a:r>
            <a:rPr lang="en-GB" sz="1100" b="1">
              <a:solidFill>
                <a:srgbClr val="FF0000"/>
              </a:solidFill>
            </a:rPr>
            <a:t>red text </a:t>
          </a:r>
          <a:r>
            <a:rPr lang="en-GB" sz="1100" b="1"/>
            <a:t>are illustrative and should be deleted or adapted to the correct</a:t>
          </a:r>
          <a:r>
            <a:rPr lang="en-GB" sz="1100" b="1" baseline="0"/>
            <a:t> inputs/outputs for your </a:t>
          </a:r>
          <a:r>
            <a:rPr lang="en-GB" sz="1100" b="1"/>
            <a:t>pathway. This should not be considered an exhaustive list, and further inputs/outputs relevant to the pathway should be added.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CK_UP/00de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reciation"/>
    </sheetNames>
    <sheetDataSet>
      <sheetData sheetId="0" refreshError="1"/>
    </sheetDataSet>
  </externalBook>
</externalLink>
</file>

<file path=xl/theme/theme1.xml><?xml version="1.0" encoding="utf-8"?>
<a:theme xmlns:a="http://schemas.openxmlformats.org/drawingml/2006/main" name="E4Tech_theme">
  <a:themeElements>
    <a:clrScheme name="E4tech colours">
      <a:dk1>
        <a:srgbClr val="000000"/>
      </a:dk1>
      <a:lt1>
        <a:srgbClr val="FFFFFF"/>
      </a:lt1>
      <a:dk2>
        <a:srgbClr val="000098"/>
      </a:dk2>
      <a:lt2>
        <a:srgbClr val="D8D9DB"/>
      </a:lt2>
      <a:accent1>
        <a:srgbClr val="1B429A"/>
      </a:accent1>
      <a:accent2>
        <a:srgbClr val="1383BD"/>
      </a:accent2>
      <a:accent3>
        <a:srgbClr val="6AB0E0"/>
      </a:accent3>
      <a:accent4>
        <a:srgbClr val="957FB5"/>
      </a:accent4>
      <a:accent5>
        <a:srgbClr val="4B8A60"/>
      </a:accent5>
      <a:accent6>
        <a:srgbClr val="8CB57E"/>
      </a:accent6>
      <a:hlink>
        <a:srgbClr val="001D4F"/>
      </a:hlink>
      <a:folHlink>
        <a:srgbClr val="D6DEE2"/>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FF@ricardo.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42787/renewable-transport-fuel-obligation-compliance-guidance.pdf" TargetMode="External"/><Relationship Id="rId7" Type="http://schemas.openxmlformats.org/officeDocument/2006/relationships/comments" Target="../comments1.xml"/><Relationship Id="rId2" Type="http://schemas.openxmlformats.org/officeDocument/2006/relationships/hyperlink" Target="https://www.gov.uk/government/publications/atmospheric-implications-of-increased-hydrogen-use" TargetMode="External"/><Relationship Id="rId1" Type="http://schemas.openxmlformats.org/officeDocument/2006/relationships/hyperlink" Target="https://www.ipcc.ch/site/assets/uploads/2018/02/ar4-wg1-chapter2-1.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1042787/renewable-transport-fuel-obligation-compliance-guidanc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947712/carbon-intensity-data-templates-2021.ods" TargetMode="External"/><Relationship Id="rId13" Type="http://schemas.openxmlformats.org/officeDocument/2006/relationships/hyperlink" Target="https://assets.publishing.service.gov.uk/government/uploads/system/uploads/attachment_data/file/1067394/low-carbon-hydrogen-standard-guidance-data-tables.pdf" TargetMode="External"/><Relationship Id="rId18" Type="http://schemas.openxmlformats.org/officeDocument/2006/relationships/printerSettings" Target="../printerSettings/printerSettings3.bin"/><Relationship Id="rId3" Type="http://schemas.openxmlformats.org/officeDocument/2006/relationships/hyperlink" Target="https://eur01.safelinks.protection.outlook.com/?url=https%3A%2F%2Fiea.blob.core.windows.net%2Fassets%2Fdeebef5d-0c34-4539-9d0c-10b13d840027%2FNetZeroby2050-ARoadmapfortheGlobalEnergySector_CORR.pdf&amp;data=05%7C01%7Cvon.chua%40e4tech.com%7C6c43196d55c247d8ecda08da220ab27e%7Cf2fe6bd39c4a485bae69e18820a88130%7C0%7C0%7C637859726588645422%7CUnknown%7CTWFpbGZsb3d8eyJWIjoiMC4wLjAwMDAiLCJQIjoiV2luMzIiLCJBTiI6Ik1haWwiLCJXVCI6Mn0%3D%7C3000%7C%7C%7C&amp;sdata=rpG8wo6ixFZnPOqx8GTUyk7%2BxgrmPnJFOmN9oPewMQs%3D&amp;reserved=0" TargetMode="External"/><Relationship Id="rId7" Type="http://schemas.openxmlformats.org/officeDocument/2006/relationships/hyperlink" Target="https://eur-lex.europa.eu/legal-content/EN/TXT/PDF/?uri=CELEX:32018L2001&amp;from=EN" TargetMode="External"/><Relationship Id="rId12" Type="http://schemas.openxmlformats.org/officeDocument/2006/relationships/hyperlink" Target="http://www.element-energy.co.uk/wordpress/wp-content/uploads/2021/08/Zemo-Low-Carbon-Hydrogen-WTT-Pathways-full-report.pdf" TargetMode="External"/><Relationship Id="rId17" Type="http://schemas.openxmlformats.org/officeDocument/2006/relationships/hyperlink" Target="https://www.gov.uk/government/publications/renewable-transport-fuel-obligation-rtfo-compliance-reporting-and-verification" TargetMode="External"/><Relationship Id="rId2" Type="http://schemas.openxmlformats.org/officeDocument/2006/relationships/hyperlink" Target="https://eur01.safelinks.protection.outlook.com/?url=https%3A%2F%2Fwww.gov.uk%2Fgovernment%2Fconsultations%2Fmandating-the-use-of-sustainable-aviation-fuels-in-the-uk&amp;data=05%7C01%7Cvon.chua%40e4tech.com%7C6c43196d55c247d8ecda08da220ab27e%7Cf2fe6bd39c4a485bae69e18820a88130%7C0%7C0%7C637859726588645422%7CUnknown%7CTWFpbGZsb3d8eyJWIjoiMC4wLjAwMDAiLCJQIjoiV2luMzIiLCJBTiI6Ik1haWwiLCJXVCI6Mn0%3D%7C3000%7C%7C%7C&amp;sdata=vCiuqnQraswMIkigCyDkIw1DyRuWEp1Bg4F9uCMDCSI%3D&amp;reserved=0" TargetMode="External"/><Relationship Id="rId16" Type="http://schemas.openxmlformats.org/officeDocument/2006/relationships/hyperlink" Target="https://assets.publishing.service.gov.uk/government/uploads/system/uploads/attachment_data/file/1067393/low-carbon-hydrogen-standard-guidance-annexes.pdf" TargetMode="External"/><Relationship Id="rId1" Type="http://schemas.openxmlformats.org/officeDocument/2006/relationships/hyperlink" Target="https://ec.europa.eu/info/sites/default/files/refueleu_aviation_-_sustainable_aviation_fuels.pdf" TargetMode="External"/><Relationship Id="rId6" Type="http://schemas.openxmlformats.org/officeDocument/2006/relationships/hyperlink" Target="https://ec.europa.eu/jrc/en/jec/renewable-energy-recast-2030-red-ii" TargetMode="External"/><Relationship Id="rId11" Type="http://schemas.openxmlformats.org/officeDocument/2006/relationships/hyperlink" Target="https://web.archive.org/web/20190605065129/http:/www.arb.ca.gov/fuels/lcfs/workgroups/lcfssustain/ISCC_EU_205_GHG_Calculation_and_GHG_Audit_2.3_eng.pdf" TargetMode="External"/><Relationship Id="rId5" Type="http://schemas.openxmlformats.org/officeDocument/2006/relationships/hyperlink" Target="https://ec.europa.eu/jrc/en/publication/eur-scientific-and-technical-research-reports/jec-well-tank-report-v5" TargetMode="External"/><Relationship Id="rId15" Type="http://schemas.openxmlformats.org/officeDocument/2006/relationships/hyperlink" Target="https://assets.publishing.service.gov.uk/government/uploads/system/uploads/attachment_data/file/1067392/low-carbon-hydrogen-standard-guidance.pdf" TargetMode="External"/><Relationship Id="rId10" Type="http://schemas.openxmlformats.org/officeDocument/2006/relationships/hyperlink" Target="https://ec.europa.eu/jrc/en/publication/eur-scientific-and-technical-research-reports/solid-and-gaseous-bioenergy-pathways-input-values-and-ghg-emissions-calculated-according-0" TargetMode="External"/><Relationship Id="rId4" Type="http://schemas.openxmlformats.org/officeDocument/2006/relationships/hyperlink" Target="https://www.gov.uk/government/publications/valuation-of-energy-use-and-greenhouse-gas-emissions-for-appraisal" TargetMode="External"/><Relationship Id="rId9" Type="http://schemas.openxmlformats.org/officeDocument/2006/relationships/hyperlink" Target="https://www.gov.uk/government/publications/biofuels-carbon-calculator-rtfo" TargetMode="External"/><Relationship Id="rId14" Type="http://schemas.openxmlformats.org/officeDocument/2006/relationships/hyperlink" Target="https://www.gov.uk/government/consultations/designing-a-uk-low-carbon-hydrogen-standar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2:T64"/>
  <sheetViews>
    <sheetView showGridLines="0" tabSelected="1" zoomScaleNormal="100" workbookViewId="0"/>
  </sheetViews>
  <sheetFormatPr defaultColWidth="7.21875" defaultRowHeight="14.4"/>
  <cols>
    <col min="1" max="1" width="6.6640625" style="1" customWidth="1"/>
    <col min="2" max="2" width="3.5546875" style="1" customWidth="1"/>
    <col min="3" max="3" width="40.88671875" style="1" customWidth="1"/>
    <col min="4" max="4" width="81.21875" style="1" customWidth="1"/>
    <col min="5" max="5" width="13.21875" style="1" customWidth="1"/>
    <col min="6" max="9" width="7.21875" style="1"/>
    <col min="10" max="16" width="7.21875" style="1" customWidth="1"/>
    <col min="17" max="17" width="7.21875" style="1"/>
    <col min="18" max="18" width="6" style="1" customWidth="1"/>
    <col min="19" max="19" width="7.21875" style="1"/>
    <col min="20" max="20" width="10.5546875" style="1" customWidth="1"/>
    <col min="21" max="23" width="7.21875" style="1"/>
    <col min="24" max="24" width="17.5546875" style="1" customWidth="1"/>
    <col min="25" max="25" width="18.44140625" style="1" customWidth="1"/>
    <col min="26" max="26" width="22.77734375" style="1" customWidth="1"/>
    <col min="27" max="16384" width="7.21875" style="1"/>
  </cols>
  <sheetData>
    <row r="2" spans="1:4">
      <c r="A2" s="1" t="s">
        <v>375</v>
      </c>
    </row>
    <row r="9" spans="1:4" ht="21">
      <c r="C9" s="188" t="s">
        <v>363</v>
      </c>
      <c r="D9" s="29"/>
    </row>
    <row r="10" spans="1:4" ht="15.6">
      <c r="C10" s="28"/>
      <c r="D10" s="30"/>
    </row>
    <row r="11" spans="1:4">
      <c r="C11" s="33" t="s">
        <v>0</v>
      </c>
      <c r="D11" s="189" t="s">
        <v>241</v>
      </c>
    </row>
    <row r="12" spans="1:4">
      <c r="C12" s="70" t="s">
        <v>1</v>
      </c>
      <c r="D12" s="69"/>
    </row>
    <row r="13" spans="1:4">
      <c r="C13" s="31"/>
      <c r="D13" s="32"/>
    </row>
    <row r="14" spans="1:4">
      <c r="C14" s="33" t="s">
        <v>364</v>
      </c>
      <c r="D14" s="192"/>
    </row>
    <row r="15" spans="1:4">
      <c r="C15" s="33" t="s">
        <v>365</v>
      </c>
      <c r="D15" s="192"/>
    </row>
    <row r="16" spans="1:4">
      <c r="C16" s="74" t="s">
        <v>246</v>
      </c>
      <c r="D16" s="192"/>
    </row>
    <row r="17" spans="3:4">
      <c r="C17" s="74" t="s">
        <v>240</v>
      </c>
      <c r="D17" s="192"/>
    </row>
    <row r="18" spans="3:4">
      <c r="C18" s="33" t="s">
        <v>366</v>
      </c>
      <c r="D18" s="192"/>
    </row>
    <row r="19" spans="3:4">
      <c r="C19" s="33" t="s">
        <v>367</v>
      </c>
      <c r="D19" s="192"/>
    </row>
    <row r="20" spans="3:4">
      <c r="C20" s="33" t="s">
        <v>208</v>
      </c>
      <c r="D20" s="192"/>
    </row>
    <row r="21" spans="3:4">
      <c r="C21" s="31"/>
      <c r="D21" s="193"/>
    </row>
    <row r="22" spans="3:4">
      <c r="C22" s="33" t="s">
        <v>2</v>
      </c>
      <c r="D22" s="192"/>
    </row>
    <row r="23" spans="3:4">
      <c r="C23" s="58" t="s">
        <v>3</v>
      </c>
      <c r="D23" s="192"/>
    </row>
    <row r="27" spans="3:4">
      <c r="C27" s="33" t="s">
        <v>4</v>
      </c>
    </row>
    <row r="28" spans="3:4">
      <c r="C28" s="36"/>
      <c r="D28" s="35" t="s">
        <v>5</v>
      </c>
    </row>
    <row r="29" spans="3:4">
      <c r="C29" s="50"/>
      <c r="D29" s="35" t="s">
        <v>6</v>
      </c>
    </row>
    <row r="30" spans="3:4">
      <c r="C30" s="100"/>
      <c r="D30" s="35" t="s">
        <v>259</v>
      </c>
    </row>
    <row r="31" spans="3:4">
      <c r="C31" s="35"/>
      <c r="D31" s="37" t="s">
        <v>7</v>
      </c>
    </row>
    <row r="32" spans="3:4">
      <c r="C32" s="153"/>
      <c r="D32" s="37" t="s">
        <v>7</v>
      </c>
    </row>
    <row r="34" spans="3:20">
      <c r="C34" s="33"/>
    </row>
    <row r="35" spans="3:20">
      <c r="C35" s="33" t="s">
        <v>254</v>
      </c>
    </row>
    <row r="36" spans="3:20">
      <c r="C36" s="175" t="s">
        <v>273</v>
      </c>
      <c r="D36" s="200" t="s">
        <v>368</v>
      </c>
      <c r="E36" s="201"/>
      <c r="F36" s="201"/>
      <c r="G36" s="201"/>
      <c r="H36" s="201"/>
      <c r="I36" s="201"/>
      <c r="J36" s="201"/>
      <c r="K36" s="201"/>
      <c r="L36" s="201"/>
      <c r="M36" s="201"/>
      <c r="N36" s="201"/>
      <c r="O36" s="201"/>
      <c r="P36" s="201"/>
      <c r="Q36" s="201"/>
      <c r="R36" s="201"/>
      <c r="S36" s="201"/>
      <c r="T36" s="202"/>
    </row>
    <row r="37" spans="3:20">
      <c r="C37" s="175" t="s">
        <v>8</v>
      </c>
      <c r="D37" s="200" t="s">
        <v>248</v>
      </c>
      <c r="E37" s="201"/>
      <c r="F37" s="201"/>
      <c r="G37" s="201"/>
      <c r="H37" s="201"/>
      <c r="I37" s="201"/>
      <c r="J37" s="201"/>
      <c r="K37" s="201"/>
      <c r="L37" s="201"/>
      <c r="M37" s="201"/>
      <c r="N37" s="201"/>
      <c r="O37" s="201"/>
      <c r="P37" s="201"/>
      <c r="Q37" s="201"/>
      <c r="R37" s="201"/>
      <c r="S37" s="201"/>
      <c r="T37" s="202"/>
    </row>
    <row r="38" spans="3:20">
      <c r="C38" s="175" t="s">
        <v>9</v>
      </c>
      <c r="D38" s="65" t="s">
        <v>258</v>
      </c>
      <c r="E38" s="66"/>
      <c r="F38" s="66"/>
      <c r="G38" s="66"/>
      <c r="H38" s="66"/>
      <c r="I38" s="66"/>
      <c r="J38" s="66"/>
      <c r="K38" s="66"/>
      <c r="L38" s="66"/>
      <c r="M38" s="66"/>
      <c r="N38" s="66"/>
      <c r="O38" s="66"/>
      <c r="P38" s="66"/>
      <c r="Q38" s="66"/>
      <c r="R38" s="66"/>
      <c r="S38" s="66"/>
      <c r="T38" s="67"/>
    </row>
    <row r="39" spans="3:20">
      <c r="C39" s="103" t="s">
        <v>11</v>
      </c>
      <c r="D39" s="51" t="s">
        <v>250</v>
      </c>
      <c r="E39" s="52"/>
      <c r="F39" s="52"/>
      <c r="G39" s="52"/>
      <c r="H39" s="52"/>
      <c r="I39" s="52"/>
      <c r="J39" s="52"/>
      <c r="K39" s="52"/>
      <c r="L39" s="52"/>
      <c r="M39" s="52"/>
      <c r="N39" s="52"/>
      <c r="O39" s="52"/>
      <c r="P39" s="52"/>
      <c r="Q39" s="52"/>
      <c r="R39" s="52"/>
      <c r="S39" s="52"/>
      <c r="T39" s="53"/>
    </row>
    <row r="40" spans="3:20">
      <c r="C40" s="174" t="s">
        <v>10</v>
      </c>
      <c r="D40" s="200" t="s">
        <v>249</v>
      </c>
      <c r="E40" s="201"/>
      <c r="F40" s="201"/>
      <c r="G40" s="201"/>
      <c r="H40" s="201"/>
      <c r="I40" s="201"/>
      <c r="J40" s="201"/>
      <c r="K40" s="201"/>
      <c r="L40" s="201"/>
      <c r="M40" s="201"/>
      <c r="N40" s="201"/>
      <c r="O40" s="201"/>
      <c r="P40" s="201"/>
      <c r="Q40" s="201"/>
      <c r="R40" s="201"/>
      <c r="S40" s="201"/>
      <c r="T40" s="202"/>
    </row>
    <row r="41" spans="3:20">
      <c r="C41" s="174" t="s">
        <v>251</v>
      </c>
      <c r="D41" s="51" t="s">
        <v>274</v>
      </c>
      <c r="E41" s="52"/>
      <c r="F41" s="52"/>
      <c r="G41" s="52"/>
      <c r="H41" s="52"/>
      <c r="I41" s="52"/>
      <c r="J41" s="52"/>
      <c r="K41" s="52"/>
      <c r="L41" s="52"/>
      <c r="M41" s="52"/>
      <c r="N41" s="52"/>
      <c r="O41" s="52"/>
      <c r="P41" s="52"/>
      <c r="Q41" s="52"/>
      <c r="R41" s="52"/>
      <c r="S41" s="52"/>
      <c r="T41" s="53"/>
    </row>
    <row r="42" spans="3:20">
      <c r="C42" s="174" t="s">
        <v>252</v>
      </c>
      <c r="D42" s="51" t="s">
        <v>253</v>
      </c>
      <c r="E42" s="52"/>
      <c r="F42" s="52"/>
      <c r="G42" s="52"/>
      <c r="H42" s="52"/>
      <c r="I42" s="52"/>
      <c r="J42" s="52"/>
      <c r="K42" s="52"/>
      <c r="L42" s="52"/>
      <c r="M42" s="52"/>
      <c r="N42" s="52"/>
      <c r="O42" s="52"/>
      <c r="P42" s="52"/>
      <c r="Q42" s="52"/>
      <c r="R42" s="52"/>
      <c r="S42" s="52"/>
      <c r="T42" s="53"/>
    </row>
    <row r="43" spans="3:20">
      <c r="C43" s="174" t="s">
        <v>12</v>
      </c>
      <c r="D43" s="203" t="s">
        <v>378</v>
      </c>
      <c r="E43" s="204"/>
      <c r="F43" s="204"/>
      <c r="G43" s="204"/>
      <c r="H43" s="204"/>
      <c r="I43" s="204"/>
      <c r="J43" s="204"/>
      <c r="K43" s="204"/>
      <c r="L43" s="204"/>
      <c r="M43" s="204"/>
      <c r="N43" s="204"/>
      <c r="O43" s="204"/>
      <c r="P43" s="204"/>
      <c r="Q43" s="204"/>
      <c r="R43" s="204"/>
      <c r="S43" s="204"/>
      <c r="T43" s="205"/>
    </row>
    <row r="44" spans="3:20">
      <c r="C44" s="174" t="s">
        <v>13</v>
      </c>
      <c r="D44" s="206"/>
      <c r="E44" s="207"/>
      <c r="F44" s="207"/>
      <c r="G44" s="207"/>
      <c r="H44" s="207"/>
      <c r="I44" s="207"/>
      <c r="J44" s="207"/>
      <c r="K44" s="207"/>
      <c r="L44" s="207"/>
      <c r="M44" s="207"/>
      <c r="N44" s="207"/>
      <c r="O44" s="207"/>
      <c r="P44" s="207"/>
      <c r="Q44" s="207"/>
      <c r="R44" s="207"/>
      <c r="S44" s="207"/>
      <c r="T44" s="208"/>
    </row>
    <row r="45" spans="3:20">
      <c r="C45" s="174" t="s">
        <v>14</v>
      </c>
      <c r="D45" s="206"/>
      <c r="E45" s="207"/>
      <c r="F45" s="207"/>
      <c r="G45" s="207"/>
      <c r="H45" s="207"/>
      <c r="I45" s="207"/>
      <c r="J45" s="207"/>
      <c r="K45" s="207"/>
      <c r="L45" s="207"/>
      <c r="M45" s="207"/>
      <c r="N45" s="207"/>
      <c r="O45" s="207"/>
      <c r="P45" s="207"/>
      <c r="Q45" s="207"/>
      <c r="R45" s="207"/>
      <c r="S45" s="207"/>
      <c r="T45" s="208"/>
    </row>
    <row r="46" spans="3:20">
      <c r="C46" s="174" t="s">
        <v>15</v>
      </c>
      <c r="D46" s="206"/>
      <c r="E46" s="207"/>
      <c r="F46" s="207"/>
      <c r="G46" s="207"/>
      <c r="H46" s="207"/>
      <c r="I46" s="207"/>
      <c r="J46" s="207"/>
      <c r="K46" s="207"/>
      <c r="L46" s="207"/>
      <c r="M46" s="207"/>
      <c r="N46" s="207"/>
      <c r="O46" s="207"/>
      <c r="P46" s="207"/>
      <c r="Q46" s="207"/>
      <c r="R46" s="207"/>
      <c r="S46" s="207"/>
      <c r="T46" s="208"/>
    </row>
    <row r="47" spans="3:20">
      <c r="C47" s="174" t="s">
        <v>16</v>
      </c>
      <c r="D47" s="206"/>
      <c r="E47" s="207"/>
      <c r="F47" s="207"/>
      <c r="G47" s="207"/>
      <c r="H47" s="207"/>
      <c r="I47" s="207"/>
      <c r="J47" s="207"/>
      <c r="K47" s="207"/>
      <c r="L47" s="207"/>
      <c r="M47" s="207"/>
      <c r="N47" s="207"/>
      <c r="O47" s="207"/>
      <c r="P47" s="207"/>
      <c r="Q47" s="207"/>
      <c r="R47" s="207"/>
      <c r="S47" s="207"/>
      <c r="T47" s="208"/>
    </row>
    <row r="48" spans="3:20">
      <c r="C48" s="174" t="s">
        <v>17</v>
      </c>
      <c r="D48" s="206"/>
      <c r="E48" s="207"/>
      <c r="F48" s="207"/>
      <c r="G48" s="207"/>
      <c r="H48" s="207"/>
      <c r="I48" s="207"/>
      <c r="J48" s="207"/>
      <c r="K48" s="207"/>
      <c r="L48" s="207"/>
      <c r="M48" s="207"/>
      <c r="N48" s="207"/>
      <c r="O48" s="207"/>
      <c r="P48" s="207"/>
      <c r="Q48" s="207"/>
      <c r="R48" s="207"/>
      <c r="S48" s="207"/>
      <c r="T48" s="208"/>
    </row>
    <row r="49" spans="3:20">
      <c r="C49" s="174" t="s">
        <v>18</v>
      </c>
      <c r="D49" s="206"/>
      <c r="E49" s="207"/>
      <c r="F49" s="207"/>
      <c r="G49" s="207"/>
      <c r="H49" s="207"/>
      <c r="I49" s="207"/>
      <c r="J49" s="207"/>
      <c r="K49" s="207"/>
      <c r="L49" s="207"/>
      <c r="M49" s="207"/>
      <c r="N49" s="207"/>
      <c r="O49" s="207"/>
      <c r="P49" s="207"/>
      <c r="Q49" s="207"/>
      <c r="R49" s="207"/>
      <c r="S49" s="207"/>
      <c r="T49" s="208"/>
    </row>
    <row r="50" spans="3:20">
      <c r="C50" s="174" t="s">
        <v>19</v>
      </c>
      <c r="D50" s="206"/>
      <c r="E50" s="207"/>
      <c r="F50" s="207"/>
      <c r="G50" s="207"/>
      <c r="H50" s="207"/>
      <c r="I50" s="207"/>
      <c r="J50" s="207"/>
      <c r="K50" s="207"/>
      <c r="L50" s="207"/>
      <c r="M50" s="207"/>
      <c r="N50" s="207"/>
      <c r="O50" s="207"/>
      <c r="P50" s="207"/>
      <c r="Q50" s="207"/>
      <c r="R50" s="207"/>
      <c r="S50" s="207"/>
      <c r="T50" s="208"/>
    </row>
    <row r="51" spans="3:20">
      <c r="C51" s="174" t="s">
        <v>20</v>
      </c>
      <c r="D51" s="206"/>
      <c r="E51" s="207"/>
      <c r="F51" s="207"/>
      <c r="G51" s="207"/>
      <c r="H51" s="207"/>
      <c r="I51" s="207"/>
      <c r="J51" s="207"/>
      <c r="K51" s="207"/>
      <c r="L51" s="207"/>
      <c r="M51" s="207"/>
      <c r="N51" s="207"/>
      <c r="O51" s="207"/>
      <c r="P51" s="207"/>
      <c r="Q51" s="207"/>
      <c r="R51" s="207"/>
      <c r="S51" s="207"/>
      <c r="T51" s="208"/>
    </row>
    <row r="52" spans="3:20">
      <c r="C52" s="174" t="s">
        <v>21</v>
      </c>
      <c r="D52" s="206"/>
      <c r="E52" s="207"/>
      <c r="F52" s="207"/>
      <c r="G52" s="207"/>
      <c r="H52" s="207"/>
      <c r="I52" s="207"/>
      <c r="J52" s="207"/>
      <c r="K52" s="207"/>
      <c r="L52" s="207"/>
      <c r="M52" s="207"/>
      <c r="N52" s="207"/>
      <c r="O52" s="207"/>
      <c r="P52" s="207"/>
      <c r="Q52" s="207"/>
      <c r="R52" s="207"/>
      <c r="S52" s="207"/>
      <c r="T52" s="208"/>
    </row>
    <row r="53" spans="3:20">
      <c r="C53" s="174" t="s">
        <v>232</v>
      </c>
      <c r="D53" s="209"/>
      <c r="E53" s="210"/>
      <c r="F53" s="210"/>
      <c r="G53" s="210"/>
      <c r="H53" s="210"/>
      <c r="I53" s="210"/>
      <c r="J53" s="210"/>
      <c r="K53" s="210"/>
      <c r="L53" s="210"/>
      <c r="M53" s="210"/>
      <c r="N53" s="210"/>
      <c r="O53" s="210"/>
      <c r="P53" s="210"/>
      <c r="Q53" s="210"/>
      <c r="R53" s="210"/>
      <c r="S53" s="210"/>
      <c r="T53" s="211"/>
    </row>
    <row r="56" spans="3:20">
      <c r="C56" s="33" t="s">
        <v>270</v>
      </c>
    </row>
    <row r="57" spans="3:20" s="171" customFormat="1" ht="14.4" customHeight="1">
      <c r="C57" s="212" t="s">
        <v>360</v>
      </c>
      <c r="D57" s="213"/>
      <c r="E57" s="213"/>
      <c r="F57" s="213"/>
      <c r="G57" s="213"/>
      <c r="H57" s="213"/>
      <c r="I57" s="213"/>
      <c r="J57" s="213"/>
      <c r="K57" s="213"/>
      <c r="L57" s="213"/>
      <c r="M57" s="213"/>
      <c r="N57" s="213"/>
      <c r="O57" s="213"/>
      <c r="P57" s="213"/>
      <c r="Q57" s="213"/>
      <c r="R57" s="213"/>
      <c r="S57" s="213"/>
      <c r="T57" s="214"/>
    </row>
    <row r="58" spans="3:20" s="171" customFormat="1" ht="14.4" customHeight="1">
      <c r="C58" s="194" t="s">
        <v>271</v>
      </c>
      <c r="D58" s="195"/>
      <c r="E58" s="195"/>
      <c r="F58" s="195"/>
      <c r="G58" s="195"/>
      <c r="H58" s="195"/>
      <c r="I58" s="195"/>
      <c r="J58" s="195"/>
      <c r="K58" s="195"/>
      <c r="L58" s="195"/>
      <c r="M58" s="195"/>
      <c r="N58" s="195"/>
      <c r="O58" s="195"/>
      <c r="P58" s="195"/>
      <c r="Q58" s="195"/>
      <c r="R58" s="195"/>
      <c r="S58" s="195"/>
      <c r="T58" s="196"/>
    </row>
    <row r="59" spans="3:20" s="171" customFormat="1" ht="14.4" customHeight="1">
      <c r="C59" s="194" t="s">
        <v>272</v>
      </c>
      <c r="D59" s="195"/>
      <c r="E59" s="195"/>
      <c r="F59" s="195"/>
      <c r="G59" s="195"/>
      <c r="H59" s="195"/>
      <c r="I59" s="195"/>
      <c r="J59" s="195"/>
      <c r="K59" s="195"/>
      <c r="L59" s="195"/>
      <c r="M59" s="195"/>
      <c r="N59" s="195"/>
      <c r="O59" s="195"/>
      <c r="P59" s="195"/>
      <c r="Q59" s="195"/>
      <c r="R59" s="195"/>
      <c r="S59" s="195"/>
      <c r="T59" s="196"/>
    </row>
    <row r="60" spans="3:20" s="171" customFormat="1" ht="29.4" customHeight="1">
      <c r="C60" s="197" t="s">
        <v>361</v>
      </c>
      <c r="D60" s="198"/>
      <c r="E60" s="198"/>
      <c r="F60" s="198"/>
      <c r="G60" s="198"/>
      <c r="H60" s="198"/>
      <c r="I60" s="198"/>
      <c r="J60" s="198"/>
      <c r="K60" s="198"/>
      <c r="L60" s="198"/>
      <c r="M60" s="198"/>
      <c r="N60" s="198"/>
      <c r="O60" s="198"/>
      <c r="P60" s="198"/>
      <c r="Q60" s="198"/>
      <c r="R60" s="198"/>
      <c r="S60" s="198"/>
      <c r="T60" s="199"/>
    </row>
    <row r="63" spans="3:20">
      <c r="C63" s="71" t="s">
        <v>194</v>
      </c>
    </row>
    <row r="64" spans="3:20">
      <c r="C64" s="172" t="s">
        <v>376</v>
      </c>
      <c r="D64" s="173" t="s">
        <v>377</v>
      </c>
    </row>
  </sheetData>
  <mergeCells count="8">
    <mergeCell ref="C59:T59"/>
    <mergeCell ref="C60:T60"/>
    <mergeCell ref="C58:T58"/>
    <mergeCell ref="D36:T36"/>
    <mergeCell ref="D40:T40"/>
    <mergeCell ref="D43:T53"/>
    <mergeCell ref="D37:T37"/>
    <mergeCell ref="C57:T57"/>
  </mergeCells>
  <dataValidations count="2">
    <dataValidation type="list" allowBlank="1" showInputMessage="1" showErrorMessage="1" sqref="D20" xr:uid="{00000000-0002-0000-0000-000000000000}">
      <formula1>"Biofuel, RFNBO, Nuclear, RCF"</formula1>
    </dataValidation>
    <dataValidation type="list" allowBlank="1" showInputMessage="1" showErrorMessage="1" sqref="D16" xr:uid="{00000000-0002-0000-0000-000001000000}">
      <formula1>"Demonstration project, FOAK commercial project"</formula1>
    </dataValidation>
  </dataValidations>
  <hyperlinks>
    <hyperlink ref="D11" r:id="rId1" xr:uid="{BB5EE59C-0C26-48AC-A95C-D13B449330EF}"/>
    <hyperlink ref="C38" location="Assumptions!A1" display="Assumptions" xr:uid="{521F1C35-DA4B-4F30-8027-817030A9E065}"/>
    <hyperlink ref="C37" location="Units!A1" display="Units" xr:uid="{71E2F4E7-3023-481B-B15E-737AD2F0ED9E}"/>
    <hyperlink ref="C40" location="'System Boundary'!A1" display="System boundary" xr:uid="{5628AEF2-5B50-43CC-B817-013BE4EC1F10}"/>
    <hyperlink ref="C39" location="Summary!A1" display="Summary" xr:uid="{E9330285-6A97-4AE2-8343-E3ABE91DA913}"/>
    <hyperlink ref="C41" location="'Additional evidence'!A1" display="Additional evidence" xr:uid="{E77FB7D1-4345-4864-BD1D-50D9BC6441B3}"/>
    <hyperlink ref="C42" location="'RCF counterfactual'!A1" display="RCF counterfactual" xr:uid="{5227B914-BCC8-41F0-B2B8-55244A7DC6CF}"/>
    <hyperlink ref="C36" location="Guidance!A1" display="Guidance" xr:uid="{FB930C57-C5BE-4A19-8E28-26228E8C93B7}"/>
  </hyperlinks>
  <pageMargins left="0.70000000000000007" right="0.70000000000000007" top="0.75" bottom="0.75" header="0.30000000000000004" footer="0.30000000000000004"/>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303</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341</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334</v>
      </c>
      <c r="D18" s="9" t="s">
        <v>310</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348</v>
      </c>
      <c r="D19" s="9" t="s">
        <v>310</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186</v>
      </c>
      <c r="C22" s="183" t="s">
        <v>332</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320</v>
      </c>
      <c r="D23" s="9" t="s">
        <v>309</v>
      </c>
      <c r="E23" s="19"/>
      <c r="F23" s="17"/>
      <c r="G23" s="17"/>
      <c r="H23" s="16"/>
      <c r="I23" s="16"/>
      <c r="J23" s="16"/>
      <c r="K23" s="16"/>
      <c r="L23" s="54">
        <f t="shared" si="4"/>
        <v>0</v>
      </c>
      <c r="M23" s="11"/>
      <c r="N23" s="11"/>
      <c r="O23" s="11"/>
      <c r="P23" s="22"/>
      <c r="Q23" s="22"/>
      <c r="R23" s="22"/>
      <c r="S23" s="22"/>
      <c r="U23" s="17"/>
    </row>
    <row r="24" spans="2:22" s="7" customFormat="1">
      <c r="B24" s="182" t="s">
        <v>189</v>
      </c>
      <c r="C24" s="183" t="s">
        <v>190</v>
      </c>
      <c r="D24" s="9" t="s">
        <v>309</v>
      </c>
      <c r="E24" s="19"/>
      <c r="F24" s="17"/>
      <c r="G24" s="17"/>
      <c r="H24" s="16"/>
      <c r="I24" s="16"/>
      <c r="J24" s="16"/>
      <c r="K24" s="16"/>
      <c r="L24" s="54">
        <f t="shared" si="4"/>
        <v>0</v>
      </c>
      <c r="M24" s="11"/>
      <c r="N24" s="11"/>
      <c r="O24" s="11"/>
      <c r="P24" s="11"/>
      <c r="Q24" s="11"/>
      <c r="R24" s="11"/>
      <c r="S24" s="11"/>
      <c r="U24" s="17"/>
    </row>
    <row r="25" spans="2:22" s="7" customFormat="1">
      <c r="B25" s="182" t="s">
        <v>321</v>
      </c>
      <c r="C25" s="183" t="s">
        <v>358</v>
      </c>
      <c r="D25" s="9" t="s">
        <v>309</v>
      </c>
      <c r="E25" s="19"/>
      <c r="F25" s="17"/>
      <c r="G25" s="17"/>
      <c r="H25" s="16"/>
      <c r="I25" s="16"/>
      <c r="J25" s="16"/>
      <c r="K25" s="16"/>
      <c r="L25" s="54">
        <f t="shared" si="4"/>
        <v>0</v>
      </c>
      <c r="M25" s="11"/>
      <c r="N25" s="11"/>
      <c r="O25" s="11"/>
      <c r="P25" s="23">
        <v>0</v>
      </c>
      <c r="Q25" s="22"/>
      <c r="R25" s="23" t="s">
        <v>346</v>
      </c>
      <c r="S25" s="184" t="str">
        <f>IFERROR(IF(D25="tonnes/yr", $P25*$E25/($L$17*3.6), $Q25*$E25*3.6/($L$17*3.6)), "Unfilled fields on left")</f>
        <v>Unfilled fields on left</v>
      </c>
      <c r="U25" s="17"/>
    </row>
    <row r="26" spans="2:22" s="7" customFormat="1">
      <c r="B26" s="182" t="s">
        <v>321</v>
      </c>
      <c r="C26" s="183" t="s">
        <v>357</v>
      </c>
      <c r="D26" s="9" t="s">
        <v>309</v>
      </c>
      <c r="E26" s="19"/>
      <c r="F26" s="17"/>
      <c r="G26" s="17"/>
      <c r="H26" s="16"/>
      <c r="I26" s="16"/>
      <c r="J26" s="16"/>
      <c r="K26" s="16"/>
      <c r="L26" s="54">
        <f t="shared" si="4"/>
        <v>0</v>
      </c>
      <c r="M26" s="11"/>
      <c r="N26" s="11"/>
      <c r="O26" s="11"/>
      <c r="P26" s="23">
        <v>1000</v>
      </c>
      <c r="Q26" s="22"/>
      <c r="R26" s="23" t="s">
        <v>345</v>
      </c>
      <c r="S26" s="184" t="str">
        <f>IFERROR(IF(D26="tonnes/yr", $P26*$E26/($L$17*3.6), $Q26*$E26*3.6/($L$17*3.6)), "Unfilled fields on left")</f>
        <v>Unfilled fields on left</v>
      </c>
      <c r="U26" s="17"/>
    </row>
    <row r="27" spans="2:22" s="7" customFormat="1">
      <c r="B27" s="182" t="s">
        <v>333</v>
      </c>
      <c r="C27" s="183" t="s">
        <v>342</v>
      </c>
      <c r="D27" s="9" t="s">
        <v>309</v>
      </c>
      <c r="E27" s="19"/>
      <c r="F27" s="17"/>
      <c r="G27" s="17"/>
      <c r="H27" s="16"/>
      <c r="I27" s="16"/>
      <c r="J27" s="16"/>
      <c r="K27" s="16"/>
      <c r="L27" s="54">
        <f t="shared" si="4"/>
        <v>0</v>
      </c>
      <c r="M27" s="11"/>
      <c r="N27" s="11"/>
      <c r="O27" s="11"/>
      <c r="P27" s="23">
        <v>-1000</v>
      </c>
      <c r="Q27" s="22"/>
      <c r="R27" s="23" t="s">
        <v>344</v>
      </c>
      <c r="S27" s="184" t="str">
        <f>IFERROR(IF(D27="tonnes/yr", $P27*$E27/($L$17*3.6), $Q27*$E27*3.6/($L$17*3.6)), "Unfilled fields on left")</f>
        <v>Unfilled fields on left</v>
      </c>
      <c r="U27" s="17"/>
    </row>
    <row r="28" spans="2:22" s="7" customFormat="1">
      <c r="B28" s="182" t="s">
        <v>333</v>
      </c>
      <c r="C28" s="183" t="s">
        <v>343</v>
      </c>
      <c r="D28" s="9" t="s">
        <v>309</v>
      </c>
      <c r="E28" s="19"/>
      <c r="F28" s="17"/>
      <c r="G28" s="17"/>
      <c r="H28" s="16"/>
      <c r="I28" s="16"/>
      <c r="J28" s="16"/>
      <c r="K28" s="16"/>
      <c r="L28" s="54">
        <f t="shared" si="4"/>
        <v>0</v>
      </c>
      <c r="M28" s="11"/>
      <c r="N28" s="11"/>
      <c r="O28" s="11"/>
      <c r="P28" s="23">
        <v>-1000</v>
      </c>
      <c r="Q28" s="22"/>
      <c r="R28" s="23" t="s">
        <v>347</v>
      </c>
      <c r="S28" s="184" t="str">
        <f>IFERROR(IF(D28="tonnes/yr", $P28*$E28/($L$17*3.6), $Q28*$E28*3.6/($L$17*3.6)), "Unfilled fields on left")</f>
        <v>Unfilled fields on left</v>
      </c>
      <c r="U28" s="17"/>
    </row>
    <row r="29" spans="2:22">
      <c r="B29" s="182" t="s">
        <v>349</v>
      </c>
      <c r="C29" s="183" t="s">
        <v>350</v>
      </c>
      <c r="D29" s="9" t="s">
        <v>309</v>
      </c>
      <c r="E29" s="19"/>
      <c r="F29" s="17"/>
      <c r="G29" s="17"/>
      <c r="H29" s="16"/>
      <c r="I29" s="16"/>
      <c r="J29" s="16"/>
      <c r="K29" s="16"/>
      <c r="L29" s="54">
        <f t="shared" si="4"/>
        <v>0</v>
      </c>
      <c r="M29" s="11"/>
      <c r="N29" s="11"/>
      <c r="O29" s="11"/>
      <c r="P29" s="23">
        <v>-1000</v>
      </c>
      <c r="Q29" s="22"/>
      <c r="R29" s="23" t="s">
        <v>352</v>
      </c>
      <c r="S29" s="184" t="str">
        <f t="shared" ref="S29:S33" si="5">IFERROR(IF(D29="tonnes/yr", $P29*$E29/($L$17*3.6), $Q29*$E29*3.6/($L$17*3.6)), "Unfilled fields on left")</f>
        <v>Unfilled fields on left</v>
      </c>
      <c r="T29" s="7"/>
      <c r="U29" s="17"/>
      <c r="V29" s="4"/>
    </row>
    <row r="30" spans="2:22">
      <c r="B30" s="182" t="s">
        <v>349</v>
      </c>
      <c r="C30" s="183" t="s">
        <v>351</v>
      </c>
      <c r="D30" s="9" t="s">
        <v>309</v>
      </c>
      <c r="E30" s="19"/>
      <c r="F30" s="17"/>
      <c r="G30" s="17"/>
      <c r="H30" s="16"/>
      <c r="I30" s="16"/>
      <c r="J30" s="16"/>
      <c r="K30" s="16"/>
      <c r="L30" s="54">
        <f t="shared" si="4"/>
        <v>0</v>
      </c>
      <c r="M30" s="11"/>
      <c r="N30" s="11"/>
      <c r="O30" s="11"/>
      <c r="P30" s="23">
        <v>-1000</v>
      </c>
      <c r="Q30" s="22"/>
      <c r="R30" s="23" t="s">
        <v>353</v>
      </c>
      <c r="S30" s="184" t="str">
        <f t="shared" si="5"/>
        <v>Unfilled fields on left</v>
      </c>
      <c r="T30" s="7"/>
      <c r="U30" s="17"/>
      <c r="V30" s="4"/>
    </row>
    <row r="31" spans="2:22">
      <c r="B31" s="182" t="s">
        <v>323</v>
      </c>
      <c r="C31" s="183" t="s">
        <v>324</v>
      </c>
      <c r="D31" s="9" t="s">
        <v>309</v>
      </c>
      <c r="E31" s="19"/>
      <c r="F31" s="17"/>
      <c r="G31" s="17"/>
      <c r="H31" s="16"/>
      <c r="I31" s="16"/>
      <c r="J31" s="16"/>
      <c r="K31" s="16"/>
      <c r="L31" s="54">
        <f t="shared" si="4"/>
        <v>0</v>
      </c>
      <c r="M31" s="11"/>
      <c r="N31" s="11"/>
      <c r="O31" s="11"/>
      <c r="P31" s="23">
        <v>28000</v>
      </c>
      <c r="Q31" s="22"/>
      <c r="R31" s="23" t="s">
        <v>328</v>
      </c>
      <c r="S31" s="184" t="str">
        <f t="shared" si="5"/>
        <v>Unfilled fields on left</v>
      </c>
      <c r="T31" s="7"/>
      <c r="U31" s="17"/>
      <c r="V31" s="4"/>
    </row>
    <row r="32" spans="2:22">
      <c r="B32" s="182" t="s">
        <v>323</v>
      </c>
      <c r="C32" s="183" t="s">
        <v>325</v>
      </c>
      <c r="D32" s="9" t="s">
        <v>309</v>
      </c>
      <c r="E32" s="19"/>
      <c r="F32" s="17"/>
      <c r="G32" s="17"/>
      <c r="H32" s="16"/>
      <c r="I32" s="16"/>
      <c r="J32" s="16"/>
      <c r="K32" s="16"/>
      <c r="L32" s="54">
        <f t="shared" si="4"/>
        <v>0</v>
      </c>
      <c r="M32" s="11"/>
      <c r="N32" s="11"/>
      <c r="O32" s="11"/>
      <c r="P32" s="23">
        <v>265000</v>
      </c>
      <c r="Q32" s="22"/>
      <c r="R32" s="23" t="s">
        <v>328</v>
      </c>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t="s">
        <v>335</v>
      </c>
      <c r="C38" s="9" t="s">
        <v>336</v>
      </c>
      <c r="D38" s="9" t="s">
        <v>337</v>
      </c>
      <c r="E38" s="10"/>
    </row>
    <row r="39" spans="2:22">
      <c r="B39" s="10" t="s">
        <v>338</v>
      </c>
      <c r="C39" s="9" t="s">
        <v>339</v>
      </c>
      <c r="D39" s="9" t="s">
        <v>337</v>
      </c>
      <c r="E39" s="10"/>
    </row>
    <row r="40" spans="2:22">
      <c r="B40" s="10"/>
      <c r="C40" s="10"/>
      <c r="D40" s="10"/>
      <c r="E40" s="10"/>
    </row>
  </sheetData>
  <dataValidations count="1">
    <dataValidation type="list" allowBlank="1" showInputMessage="1" showErrorMessage="1" sqref="D5:D14 D17:D33" xr:uid="{E5DDD3D1-B932-4D52-9AD2-BEF3BEA38C02}">
      <formula1>"tonnes/yr, MWh/yr (LHV)"</formula1>
    </dataValidation>
  </dataValidations>
  <pageMargins left="0.70000000000000007" right="0.70000000000000007" top="0.75" bottom="0.75" header="0.30000000000000004" footer="0.3000000000000000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341</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341</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E62D1ABF-2CE6-469D-B309-503EA421C07C}">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B1:V40"/>
  <sheetViews>
    <sheetView showGridLines="0" zoomScaleNormal="100" zoomScalePageLayoutView="12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3" max="16384" width="7.21875" style="4"/>
  </cols>
  <sheetData>
    <row r="1" spans="2:22">
      <c r="M1" s="1"/>
      <c r="V1" s="1"/>
    </row>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c r="V2" s="1"/>
    </row>
    <row r="3" spans="2:22" ht="15" thickTop="1">
      <c r="M3" s="1"/>
      <c r="V3" s="1"/>
    </row>
    <row r="4" spans="2:22">
      <c r="B4" s="181" t="s">
        <v>176</v>
      </c>
      <c r="C4" s="177"/>
      <c r="D4" s="177"/>
      <c r="E4" s="178"/>
      <c r="F4" s="177"/>
      <c r="G4" s="179"/>
      <c r="H4" s="180"/>
      <c r="I4" s="180"/>
      <c r="J4" s="180"/>
      <c r="K4" s="180"/>
      <c r="L4" s="180"/>
      <c r="M4" s="1"/>
      <c r="N4" s="11"/>
      <c r="P4" s="14"/>
      <c r="Q4" s="14"/>
      <c r="R4" s="14"/>
      <c r="S4" s="49"/>
      <c r="U4" s="11"/>
      <c r="V4" s="4"/>
    </row>
    <row r="5" spans="2:22" s="11" customFormat="1">
      <c r="B5" s="10" t="s">
        <v>177</v>
      </c>
      <c r="C5" s="183" t="s">
        <v>341</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193</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334</v>
      </c>
      <c r="D18" s="9" t="s">
        <v>310</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348</v>
      </c>
      <c r="D19" s="9" t="s">
        <v>310</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186</v>
      </c>
      <c r="C22" s="183" t="s">
        <v>332</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320</v>
      </c>
      <c r="D23" s="9" t="s">
        <v>309</v>
      </c>
      <c r="E23" s="19"/>
      <c r="F23" s="17"/>
      <c r="G23" s="17"/>
      <c r="H23" s="16"/>
      <c r="I23" s="16"/>
      <c r="J23" s="16"/>
      <c r="K23" s="16"/>
      <c r="L23" s="54">
        <f t="shared" si="4"/>
        <v>0</v>
      </c>
      <c r="M23" s="11"/>
      <c r="N23" s="11"/>
      <c r="O23" s="11"/>
      <c r="P23" s="22"/>
      <c r="Q23" s="22"/>
      <c r="R23" s="22"/>
      <c r="S23" s="22"/>
      <c r="U23" s="17"/>
    </row>
    <row r="24" spans="2:22" s="7" customFormat="1">
      <c r="B24" s="182" t="s">
        <v>189</v>
      </c>
      <c r="C24" s="183" t="s">
        <v>190</v>
      </c>
      <c r="D24" s="9" t="s">
        <v>309</v>
      </c>
      <c r="E24" s="19"/>
      <c r="F24" s="17"/>
      <c r="G24" s="17"/>
      <c r="H24" s="16"/>
      <c r="I24" s="16"/>
      <c r="J24" s="16"/>
      <c r="K24" s="16"/>
      <c r="L24" s="54">
        <f t="shared" si="4"/>
        <v>0</v>
      </c>
      <c r="M24" s="11"/>
      <c r="N24" s="11"/>
      <c r="O24" s="11"/>
      <c r="P24" s="11"/>
      <c r="Q24" s="11"/>
      <c r="R24" s="11"/>
      <c r="S24" s="11"/>
      <c r="U24" s="17"/>
    </row>
    <row r="25" spans="2:22" s="7" customFormat="1">
      <c r="B25" s="182" t="s">
        <v>321</v>
      </c>
      <c r="C25" s="183" t="s">
        <v>356</v>
      </c>
      <c r="D25" s="9" t="s">
        <v>309</v>
      </c>
      <c r="E25" s="19"/>
      <c r="F25" s="17"/>
      <c r="G25" s="17"/>
      <c r="H25" s="16"/>
      <c r="I25" s="16"/>
      <c r="J25" s="16"/>
      <c r="K25" s="16"/>
      <c r="L25" s="54">
        <f t="shared" si="4"/>
        <v>0</v>
      </c>
      <c r="M25" s="11"/>
      <c r="N25" s="11"/>
      <c r="O25" s="11"/>
      <c r="P25" s="23">
        <v>0</v>
      </c>
      <c r="Q25" s="22"/>
      <c r="R25" s="23" t="s">
        <v>346</v>
      </c>
      <c r="S25" s="184" t="str">
        <f>IFERROR(IF(D25="tonnes/yr", $P25*$E25/($L$17*3.6), $Q25*$E25*3.6/($L$17*3.6)), "Unfilled fields on left")</f>
        <v>Unfilled fields on left</v>
      </c>
      <c r="U25" s="17"/>
    </row>
    <row r="26" spans="2:22" s="7" customFormat="1">
      <c r="B26" s="182" t="s">
        <v>321</v>
      </c>
      <c r="C26" s="183" t="s">
        <v>357</v>
      </c>
      <c r="D26" s="9" t="s">
        <v>309</v>
      </c>
      <c r="E26" s="19"/>
      <c r="F26" s="17"/>
      <c r="G26" s="17"/>
      <c r="H26" s="16"/>
      <c r="I26" s="16"/>
      <c r="J26" s="16"/>
      <c r="K26" s="16"/>
      <c r="L26" s="54">
        <f t="shared" si="4"/>
        <v>0</v>
      </c>
      <c r="M26" s="11"/>
      <c r="N26" s="11"/>
      <c r="O26" s="11"/>
      <c r="P26" s="23">
        <v>1000</v>
      </c>
      <c r="Q26" s="22"/>
      <c r="R26" s="23" t="s">
        <v>345</v>
      </c>
      <c r="S26" s="184" t="str">
        <f>IFERROR(IF(D26="tonnes/yr", $P26*$E26/($L$17*3.6), $Q26*$E26*3.6/($L$17*3.6)), "Unfilled fields on left")</f>
        <v>Unfilled fields on left</v>
      </c>
      <c r="U26" s="17"/>
    </row>
    <row r="27" spans="2:22" s="7" customFormat="1">
      <c r="B27" s="182" t="s">
        <v>333</v>
      </c>
      <c r="C27" s="183" t="s">
        <v>342</v>
      </c>
      <c r="D27" s="9" t="s">
        <v>309</v>
      </c>
      <c r="E27" s="19"/>
      <c r="F27" s="17"/>
      <c r="G27" s="17"/>
      <c r="H27" s="16"/>
      <c r="I27" s="16"/>
      <c r="J27" s="16"/>
      <c r="K27" s="16"/>
      <c r="L27" s="54">
        <f t="shared" si="4"/>
        <v>0</v>
      </c>
      <c r="M27" s="11"/>
      <c r="N27" s="11"/>
      <c r="O27" s="11"/>
      <c r="P27" s="23">
        <v>-1000</v>
      </c>
      <c r="Q27" s="22"/>
      <c r="R27" s="23" t="s">
        <v>344</v>
      </c>
      <c r="S27" s="184" t="str">
        <f>IFERROR(IF(D27="tonnes/yr", $P27*$E27/($L$17*3.6), $Q27*$E27*3.6/($L$17*3.6)), "Unfilled fields on left")</f>
        <v>Unfilled fields on left</v>
      </c>
      <c r="U27" s="17"/>
    </row>
    <row r="28" spans="2:22" s="7" customFormat="1">
      <c r="B28" s="182" t="s">
        <v>333</v>
      </c>
      <c r="C28" s="183" t="s">
        <v>343</v>
      </c>
      <c r="D28" s="9" t="s">
        <v>309</v>
      </c>
      <c r="E28" s="19"/>
      <c r="F28" s="17"/>
      <c r="G28" s="17"/>
      <c r="H28" s="16"/>
      <c r="I28" s="16"/>
      <c r="J28" s="16"/>
      <c r="K28" s="16"/>
      <c r="L28" s="54">
        <f t="shared" si="4"/>
        <v>0</v>
      </c>
      <c r="M28" s="11"/>
      <c r="N28" s="11"/>
      <c r="O28" s="11"/>
      <c r="P28" s="23">
        <v>-1000</v>
      </c>
      <c r="Q28" s="22"/>
      <c r="R28" s="23" t="s">
        <v>347</v>
      </c>
      <c r="S28" s="184" t="str">
        <f>IFERROR(IF(D28="tonnes/yr", $P28*$E28/($L$17*3.6), $Q28*$E28*3.6/($L$17*3.6)), "Unfilled fields on left")</f>
        <v>Unfilled fields on left</v>
      </c>
      <c r="U28" s="17"/>
    </row>
    <row r="29" spans="2:22">
      <c r="B29" s="182" t="s">
        <v>349</v>
      </c>
      <c r="C29" s="183" t="s">
        <v>350</v>
      </c>
      <c r="D29" s="9" t="s">
        <v>309</v>
      </c>
      <c r="E29" s="19"/>
      <c r="F29" s="17"/>
      <c r="G29" s="17"/>
      <c r="H29" s="16"/>
      <c r="I29" s="16"/>
      <c r="J29" s="16"/>
      <c r="K29" s="16"/>
      <c r="L29" s="54">
        <f t="shared" si="4"/>
        <v>0</v>
      </c>
      <c r="M29" s="11"/>
      <c r="N29" s="11"/>
      <c r="O29" s="11"/>
      <c r="P29" s="23">
        <v>-1000</v>
      </c>
      <c r="Q29" s="22"/>
      <c r="R29" s="23" t="s">
        <v>352</v>
      </c>
      <c r="S29" s="184" t="str">
        <f t="shared" ref="S29:S33" si="5">IFERROR(IF(D29="tonnes/yr", $P29*$E29/($L$17*3.6), $Q29*$E29*3.6/($L$17*3.6)), "Unfilled fields on left")</f>
        <v>Unfilled fields on left</v>
      </c>
      <c r="T29" s="7"/>
      <c r="U29" s="17"/>
      <c r="V29" s="4"/>
    </row>
    <row r="30" spans="2:22">
      <c r="B30" s="182" t="s">
        <v>349</v>
      </c>
      <c r="C30" s="183" t="s">
        <v>351</v>
      </c>
      <c r="D30" s="9" t="s">
        <v>309</v>
      </c>
      <c r="E30" s="19"/>
      <c r="F30" s="17"/>
      <c r="G30" s="17"/>
      <c r="H30" s="16"/>
      <c r="I30" s="16"/>
      <c r="J30" s="16"/>
      <c r="K30" s="16"/>
      <c r="L30" s="54">
        <f t="shared" si="4"/>
        <v>0</v>
      </c>
      <c r="M30" s="11"/>
      <c r="N30" s="11"/>
      <c r="O30" s="11"/>
      <c r="P30" s="23">
        <v>-1000</v>
      </c>
      <c r="Q30" s="22"/>
      <c r="R30" s="23" t="s">
        <v>353</v>
      </c>
      <c r="S30" s="184" t="str">
        <f t="shared" si="5"/>
        <v>Unfilled fields on left</v>
      </c>
      <c r="T30" s="7"/>
      <c r="U30" s="17"/>
      <c r="V30" s="4"/>
    </row>
    <row r="31" spans="2:22">
      <c r="B31" s="182" t="s">
        <v>323</v>
      </c>
      <c r="C31" s="183" t="s">
        <v>324</v>
      </c>
      <c r="D31" s="9" t="s">
        <v>309</v>
      </c>
      <c r="E31" s="19"/>
      <c r="F31" s="17"/>
      <c r="G31" s="17"/>
      <c r="H31" s="16"/>
      <c r="I31" s="16"/>
      <c r="J31" s="16"/>
      <c r="K31" s="16"/>
      <c r="L31" s="54">
        <f t="shared" si="4"/>
        <v>0</v>
      </c>
      <c r="M31" s="11"/>
      <c r="N31" s="11"/>
      <c r="O31" s="11"/>
      <c r="P31" s="23">
        <v>28000</v>
      </c>
      <c r="Q31" s="22"/>
      <c r="R31" s="23" t="s">
        <v>328</v>
      </c>
      <c r="S31" s="184" t="str">
        <f t="shared" si="5"/>
        <v>Unfilled fields on left</v>
      </c>
      <c r="T31" s="7"/>
      <c r="U31" s="17"/>
      <c r="V31" s="4"/>
    </row>
    <row r="32" spans="2:22">
      <c r="B32" s="182" t="s">
        <v>323</v>
      </c>
      <c r="C32" s="183" t="s">
        <v>325</v>
      </c>
      <c r="D32" s="9" t="s">
        <v>309</v>
      </c>
      <c r="E32" s="19"/>
      <c r="F32" s="17"/>
      <c r="G32" s="17"/>
      <c r="H32" s="16"/>
      <c r="I32" s="16"/>
      <c r="J32" s="16"/>
      <c r="K32" s="16"/>
      <c r="L32" s="54">
        <f t="shared" si="4"/>
        <v>0</v>
      </c>
      <c r="M32" s="11"/>
      <c r="N32" s="11"/>
      <c r="O32" s="11"/>
      <c r="P32" s="23">
        <v>265000</v>
      </c>
      <c r="Q32" s="22"/>
      <c r="R32" s="23" t="s">
        <v>328</v>
      </c>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c r="M37" s="1"/>
      <c r="V37" s="1"/>
    </row>
    <row r="38" spans="2:22">
      <c r="B38" s="10" t="s">
        <v>335</v>
      </c>
      <c r="C38" s="9" t="s">
        <v>336</v>
      </c>
      <c r="D38" s="9" t="s">
        <v>337</v>
      </c>
      <c r="E38" s="10"/>
      <c r="M38" s="1"/>
      <c r="V38" s="1"/>
    </row>
    <row r="39" spans="2:22">
      <c r="B39" s="10" t="s">
        <v>338</v>
      </c>
      <c r="C39" s="9" t="s">
        <v>339</v>
      </c>
      <c r="D39" s="9" t="s">
        <v>337</v>
      </c>
      <c r="E39" s="10"/>
      <c r="M39" s="1"/>
      <c r="V39" s="1"/>
    </row>
    <row r="40" spans="2:22">
      <c r="B40" s="10"/>
      <c r="C40" s="10"/>
      <c r="D40" s="10"/>
      <c r="E40" s="10"/>
      <c r="M40" s="1"/>
      <c r="V40" s="1"/>
    </row>
  </sheetData>
  <sheetProtection formatColumns="0" formatRows="0" insertRows="0" deleteRows="0"/>
  <dataValidations count="1">
    <dataValidation type="list" allowBlank="1" showInputMessage="1" showErrorMessage="1" sqref="D5:D14 D17:D33" xr:uid="{229CD3C3-50D1-42C0-B331-23DF1EE5B4DC}">
      <formula1>"tonnes/yr, MWh/yr (LHV)"</formula1>
    </dataValidation>
  </dataValidations>
  <pageMargins left="0.70000000000000007" right="0.70000000000000007" top="0.75" bottom="0.75" header="0.30000000000000004" footer="0.3000000000000000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193</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193</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C7C3EE57-5175-47BE-B711-751375A9BB62}">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193</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340</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354</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186</v>
      </c>
      <c r="C22" s="183" t="s">
        <v>332</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320</v>
      </c>
      <c r="D23" s="9" t="s">
        <v>309</v>
      </c>
      <c r="E23" s="19"/>
      <c r="F23" s="17"/>
      <c r="G23" s="17"/>
      <c r="H23" s="16"/>
      <c r="I23" s="16"/>
      <c r="J23" s="16"/>
      <c r="K23" s="16"/>
      <c r="L23" s="54">
        <f t="shared" si="4"/>
        <v>0</v>
      </c>
      <c r="M23" s="11"/>
      <c r="N23" s="11"/>
      <c r="O23" s="11"/>
      <c r="P23" s="11"/>
      <c r="Q23" s="11"/>
      <c r="R23" s="11"/>
      <c r="S23" s="22"/>
      <c r="U23" s="17"/>
    </row>
    <row r="24" spans="2:22" s="7" customFormat="1">
      <c r="B24" s="182" t="s">
        <v>189</v>
      </c>
      <c r="C24" s="183" t="s">
        <v>190</v>
      </c>
      <c r="D24" s="9" t="s">
        <v>309</v>
      </c>
      <c r="E24" s="19"/>
      <c r="F24" s="17"/>
      <c r="G24" s="17"/>
      <c r="H24" s="16"/>
      <c r="I24" s="16"/>
      <c r="J24" s="16"/>
      <c r="K24" s="16"/>
      <c r="L24" s="54">
        <f t="shared" si="4"/>
        <v>0</v>
      </c>
      <c r="M24" s="11"/>
      <c r="N24" s="11"/>
      <c r="O24" s="11"/>
      <c r="P24" s="11"/>
      <c r="Q24" s="11"/>
      <c r="R24" s="11"/>
      <c r="S24" s="11"/>
      <c r="U24" s="17"/>
    </row>
    <row r="25" spans="2:22" s="7" customFormat="1">
      <c r="B25" s="182" t="s">
        <v>321</v>
      </c>
      <c r="C25" s="183" t="s">
        <v>359</v>
      </c>
      <c r="D25" s="9" t="s">
        <v>309</v>
      </c>
      <c r="E25" s="19"/>
      <c r="F25" s="17"/>
      <c r="G25" s="17"/>
      <c r="H25" s="16"/>
      <c r="I25" s="16"/>
      <c r="J25" s="16"/>
      <c r="K25" s="16"/>
      <c r="L25" s="54">
        <f t="shared" si="4"/>
        <v>0</v>
      </c>
      <c r="M25" s="11"/>
      <c r="N25" s="11"/>
      <c r="O25" s="11"/>
      <c r="P25" s="23">
        <v>0</v>
      </c>
      <c r="Q25" s="22"/>
      <c r="R25" s="23" t="s">
        <v>346</v>
      </c>
      <c r="S25" s="184" t="str">
        <f>IFERROR(IF(D25="tonnes/yr", $P25*$E25/($L$17*3.6), $Q25*$E25*3.6/($L$17*3.6)), "Unfilled fields on left")</f>
        <v>Unfilled fields on left</v>
      </c>
      <c r="U25" s="17"/>
    </row>
    <row r="26" spans="2:22" s="7" customFormat="1">
      <c r="B26" s="182" t="s">
        <v>321</v>
      </c>
      <c r="C26" s="183" t="s">
        <v>357</v>
      </c>
      <c r="D26" s="9" t="s">
        <v>309</v>
      </c>
      <c r="E26" s="19"/>
      <c r="F26" s="17"/>
      <c r="G26" s="17"/>
      <c r="H26" s="16"/>
      <c r="I26" s="16"/>
      <c r="J26" s="16"/>
      <c r="K26" s="16"/>
      <c r="L26" s="54">
        <f t="shared" si="4"/>
        <v>0</v>
      </c>
      <c r="M26" s="11"/>
      <c r="N26" s="11"/>
      <c r="O26" s="11"/>
      <c r="P26" s="23">
        <v>1000</v>
      </c>
      <c r="Q26" s="22"/>
      <c r="R26" s="23" t="s">
        <v>345</v>
      </c>
      <c r="S26" s="184" t="str">
        <f>IFERROR(IF(D26="tonnes/yr", $P26*$E26/($L$17*3.6), $Q26*$E26*3.6/($L$17*3.6)), "Unfilled fields on left")</f>
        <v>Unfilled fields on left</v>
      </c>
      <c r="U26" s="17"/>
    </row>
    <row r="27" spans="2:22" s="7" customFormat="1">
      <c r="B27" s="182" t="s">
        <v>333</v>
      </c>
      <c r="C27" s="183" t="s">
        <v>342</v>
      </c>
      <c r="D27" s="9" t="s">
        <v>309</v>
      </c>
      <c r="E27" s="19"/>
      <c r="F27" s="17"/>
      <c r="G27" s="17"/>
      <c r="H27" s="16"/>
      <c r="I27" s="16"/>
      <c r="J27" s="16"/>
      <c r="K27" s="16"/>
      <c r="L27" s="54">
        <f t="shared" si="4"/>
        <v>0</v>
      </c>
      <c r="M27" s="11"/>
      <c r="N27" s="11"/>
      <c r="O27" s="11"/>
      <c r="P27" s="23">
        <v>-1000</v>
      </c>
      <c r="Q27" s="22"/>
      <c r="R27" s="23" t="s">
        <v>344</v>
      </c>
      <c r="S27" s="184" t="str">
        <f>IFERROR(IF(D27="tonnes/yr", $P27*$E27/($L$17*3.6), $Q27*$E27*3.6/($L$17*3.6)), "Unfilled fields on left")</f>
        <v>Unfilled fields on left</v>
      </c>
      <c r="U27" s="17"/>
    </row>
    <row r="28" spans="2:22" s="7" customFormat="1">
      <c r="B28" s="182" t="s">
        <v>333</v>
      </c>
      <c r="C28" s="183" t="s">
        <v>343</v>
      </c>
      <c r="D28" s="9" t="s">
        <v>309</v>
      </c>
      <c r="E28" s="19"/>
      <c r="F28" s="17"/>
      <c r="G28" s="17"/>
      <c r="H28" s="16"/>
      <c r="I28" s="16"/>
      <c r="J28" s="16"/>
      <c r="K28" s="16"/>
      <c r="L28" s="54">
        <f t="shared" si="4"/>
        <v>0</v>
      </c>
      <c r="M28" s="11"/>
      <c r="N28" s="11"/>
      <c r="O28" s="11"/>
      <c r="P28" s="23">
        <v>-1000</v>
      </c>
      <c r="Q28" s="22"/>
      <c r="R28" s="23" t="s">
        <v>347</v>
      </c>
      <c r="S28" s="184" t="str">
        <f>IFERROR(IF(D28="tonnes/yr", $P28*$E28/($L$17*3.6), $Q28*$E28*3.6/($L$17*3.6)), "Unfilled fields on left")</f>
        <v>Unfilled fields on left</v>
      </c>
      <c r="U28" s="17"/>
    </row>
    <row r="29" spans="2:22">
      <c r="B29" s="182" t="s">
        <v>349</v>
      </c>
      <c r="C29" s="183" t="s">
        <v>350</v>
      </c>
      <c r="D29" s="9" t="s">
        <v>309</v>
      </c>
      <c r="E29" s="19"/>
      <c r="F29" s="17"/>
      <c r="G29" s="17"/>
      <c r="H29" s="16"/>
      <c r="I29" s="16"/>
      <c r="J29" s="16"/>
      <c r="K29" s="16"/>
      <c r="L29" s="54">
        <f t="shared" si="4"/>
        <v>0</v>
      </c>
      <c r="M29" s="11"/>
      <c r="N29" s="11"/>
      <c r="O29" s="11"/>
      <c r="P29" s="23">
        <v>-1000</v>
      </c>
      <c r="Q29" s="22"/>
      <c r="R29" s="23" t="s">
        <v>352</v>
      </c>
      <c r="S29" s="184" t="str">
        <f t="shared" ref="S29:S33" si="5">IFERROR(IF(D29="tonnes/yr", $P29*$E29/($L$17*3.6), $Q29*$E29*3.6/($L$17*3.6)), "Unfilled fields on left")</f>
        <v>Unfilled fields on left</v>
      </c>
      <c r="T29" s="7"/>
      <c r="U29" s="17"/>
      <c r="V29" s="4"/>
    </row>
    <row r="30" spans="2:22">
      <c r="B30" s="182" t="s">
        <v>349</v>
      </c>
      <c r="C30" s="183" t="s">
        <v>351</v>
      </c>
      <c r="D30" s="9" t="s">
        <v>309</v>
      </c>
      <c r="E30" s="19"/>
      <c r="F30" s="17"/>
      <c r="G30" s="17"/>
      <c r="H30" s="16"/>
      <c r="I30" s="16"/>
      <c r="J30" s="16"/>
      <c r="K30" s="16"/>
      <c r="L30" s="54">
        <f t="shared" si="4"/>
        <v>0</v>
      </c>
      <c r="M30" s="11"/>
      <c r="N30" s="11"/>
      <c r="O30" s="11"/>
      <c r="P30" s="23">
        <v>-1000</v>
      </c>
      <c r="Q30" s="22"/>
      <c r="R30" s="23" t="s">
        <v>353</v>
      </c>
      <c r="S30" s="184" t="str">
        <f t="shared" si="5"/>
        <v>Unfilled fields on left</v>
      </c>
      <c r="T30" s="7"/>
      <c r="U30" s="17"/>
      <c r="V30" s="4"/>
    </row>
    <row r="31" spans="2:22">
      <c r="B31" s="182" t="s">
        <v>323</v>
      </c>
      <c r="C31" s="183" t="s">
        <v>324</v>
      </c>
      <c r="D31" s="9" t="s">
        <v>309</v>
      </c>
      <c r="E31" s="19"/>
      <c r="F31" s="17"/>
      <c r="G31" s="17"/>
      <c r="H31" s="16"/>
      <c r="I31" s="16"/>
      <c r="J31" s="16"/>
      <c r="K31" s="16"/>
      <c r="L31" s="54">
        <f t="shared" si="4"/>
        <v>0</v>
      </c>
      <c r="M31" s="11"/>
      <c r="N31" s="11"/>
      <c r="O31" s="11"/>
      <c r="P31" s="23">
        <v>28000</v>
      </c>
      <c r="Q31" s="22"/>
      <c r="R31" s="23" t="s">
        <v>328</v>
      </c>
      <c r="S31" s="184" t="str">
        <f t="shared" si="5"/>
        <v>Unfilled fields on left</v>
      </c>
      <c r="T31" s="7"/>
      <c r="U31" s="17"/>
      <c r="V31" s="4"/>
    </row>
    <row r="32" spans="2:22">
      <c r="B32" s="182" t="s">
        <v>323</v>
      </c>
      <c r="C32" s="183" t="s">
        <v>325</v>
      </c>
      <c r="D32" s="9" t="s">
        <v>309</v>
      </c>
      <c r="E32" s="19"/>
      <c r="F32" s="17"/>
      <c r="G32" s="17"/>
      <c r="H32" s="16"/>
      <c r="I32" s="16"/>
      <c r="J32" s="16"/>
      <c r="K32" s="16"/>
      <c r="L32" s="54">
        <f t="shared" si="4"/>
        <v>0</v>
      </c>
      <c r="M32" s="11"/>
      <c r="N32" s="11"/>
      <c r="O32" s="11"/>
      <c r="P32" s="23">
        <v>265000</v>
      </c>
      <c r="Q32" s="22"/>
      <c r="R32" s="23" t="s">
        <v>328</v>
      </c>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t="s">
        <v>335</v>
      </c>
      <c r="C38" s="9" t="s">
        <v>336</v>
      </c>
      <c r="D38" s="9" t="s">
        <v>337</v>
      </c>
      <c r="E38" s="10"/>
    </row>
    <row r="39" spans="2:22">
      <c r="B39" s="10" t="s">
        <v>338</v>
      </c>
      <c r="C39" s="9" t="s">
        <v>339</v>
      </c>
      <c r="D39" s="9" t="s">
        <v>337</v>
      </c>
      <c r="E39" s="10"/>
    </row>
    <row r="40" spans="2:22">
      <c r="B40" s="10"/>
      <c r="C40" s="10"/>
      <c r="D40" s="10"/>
      <c r="E40" s="10"/>
    </row>
  </sheetData>
  <dataValidations count="1">
    <dataValidation type="list" allowBlank="1" showInputMessage="1" showErrorMessage="1" sqref="D5:D14 D17:D33" xr:uid="{A9781C3C-F988-4D05-9A5B-FEF41052D70E}">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340</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340</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4F7529DE-C0D9-465B-B434-19856CAF002C}">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340</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340</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F4724EE7-CB68-49FF-9A96-AA7373578E86}">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340</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340</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066AF23F-F558-4AFC-BD0C-8B53DE9CEE70}">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340</v>
      </c>
      <c r="D5" s="9" t="s">
        <v>309</v>
      </c>
      <c r="E5" s="43"/>
      <c r="F5" s="17"/>
      <c r="G5" s="17"/>
      <c r="H5" s="16"/>
      <c r="I5" s="16" t="s">
        <v>185</v>
      </c>
      <c r="J5" s="42"/>
      <c r="K5" s="16"/>
      <c r="L5" s="54">
        <f>IF($D5="MWh/yr (LHV)",$E5,$J5*$E5/3.6)</f>
        <v>0</v>
      </c>
      <c r="P5" s="42" t="str">
        <f>IF(B5="", "", IF(D5="MWh/yr (LHV)", "Use column to right", "Enter data here"))</f>
        <v>Enter data here</v>
      </c>
      <c r="Q5" s="42" t="str">
        <f>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340</v>
      </c>
      <c r="D17" s="9" t="s">
        <v>309</v>
      </c>
      <c r="E17" s="44"/>
      <c r="F17" s="17"/>
      <c r="G17" s="17"/>
      <c r="H17" s="17"/>
      <c r="I17" s="17" t="s">
        <v>178</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5:D14 D17:D33" xr:uid="{AE996C5D-C6A6-4A4D-A9C5-549C5855CA30}">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5" tint="0.79998168889431442"/>
  </sheetPr>
  <dimension ref="B2:J82"/>
  <sheetViews>
    <sheetView showGridLines="0" zoomScaleNormal="100" workbookViewId="0"/>
  </sheetViews>
  <sheetFormatPr defaultColWidth="7.21875" defaultRowHeight="14.4"/>
  <cols>
    <col min="1" max="1" width="6.6640625" style="112" customWidth="1"/>
    <col min="2" max="2" width="38.21875" style="112" customWidth="1"/>
    <col min="3" max="3" width="18" style="112" bestFit="1" customWidth="1"/>
    <col min="4" max="4" width="14" style="112" customWidth="1"/>
    <col min="5" max="5" width="17.77734375" style="112" customWidth="1"/>
    <col min="6" max="8" width="14" style="112" customWidth="1"/>
    <col min="9" max="9" width="16.77734375" style="112" customWidth="1"/>
    <col min="10" max="10" width="14.5546875" style="112" customWidth="1"/>
    <col min="11" max="13" width="18.21875" style="112" customWidth="1"/>
    <col min="14" max="14" width="12.77734375" style="112" customWidth="1"/>
    <col min="15" max="16" width="25" style="112" customWidth="1"/>
    <col min="17" max="16384" width="7.21875" style="112"/>
  </cols>
  <sheetData>
    <row r="2" spans="2:9">
      <c r="B2" s="165" t="s">
        <v>22</v>
      </c>
      <c r="C2" s="115"/>
      <c r="D2" s="115"/>
      <c r="E2" s="115"/>
      <c r="F2" s="115"/>
      <c r="G2" s="126"/>
      <c r="H2" s="115"/>
      <c r="I2" s="115"/>
    </row>
    <row r="3" spans="2:9">
      <c r="B3" s="113" t="s">
        <v>23</v>
      </c>
      <c r="C3" s="114" t="s">
        <v>24</v>
      </c>
      <c r="D3" s="114" t="s">
        <v>25</v>
      </c>
      <c r="E3" s="114" t="s">
        <v>26</v>
      </c>
      <c r="F3" s="114" t="s">
        <v>27</v>
      </c>
      <c r="G3" s="114" t="s">
        <v>28</v>
      </c>
      <c r="H3" s="115"/>
      <c r="I3" s="115"/>
    </row>
    <row r="4" spans="2:9">
      <c r="B4" s="116" t="s">
        <v>29</v>
      </c>
      <c r="C4" s="117"/>
      <c r="D4" s="117">
        <v>238.8</v>
      </c>
      <c r="E4" s="117">
        <f>2.388*10^-5</f>
        <v>2.3880000000000002E-5</v>
      </c>
      <c r="F4" s="117">
        <v>947.8</v>
      </c>
      <c r="G4" s="117">
        <v>0.27779999999999999</v>
      </c>
      <c r="H4" s="115"/>
      <c r="I4" s="118"/>
    </row>
    <row r="5" spans="2:9">
      <c r="B5" s="116" t="s">
        <v>30</v>
      </c>
      <c r="C5" s="119">
        <f>4.1868*10^-3</f>
        <v>4.1868000000000001E-3</v>
      </c>
      <c r="D5" s="117"/>
      <c r="E5" s="117">
        <f>10^-7</f>
        <v>9.9999999999999995E-8</v>
      </c>
      <c r="F5" s="117">
        <v>3.968</v>
      </c>
      <c r="G5" s="117">
        <f>1.163*10^-3</f>
        <v>1.163E-3</v>
      </c>
      <c r="H5" s="115"/>
      <c r="I5" s="120"/>
    </row>
    <row r="6" spans="2:9">
      <c r="B6" s="116" t="s">
        <v>31</v>
      </c>
      <c r="C6" s="121">
        <f>4.1868*10^4</f>
        <v>41868</v>
      </c>
      <c r="D6" s="121">
        <f>10^7</f>
        <v>10000000</v>
      </c>
      <c r="E6" s="117"/>
      <c r="F6" s="121">
        <f>3.968*10^7</f>
        <v>39680000</v>
      </c>
      <c r="G6" s="121">
        <v>11630</v>
      </c>
      <c r="H6" s="115"/>
      <c r="I6" s="122"/>
    </row>
    <row r="7" spans="2:9">
      <c r="B7" s="116" t="s">
        <v>32</v>
      </c>
      <c r="C7" s="119">
        <f>1.0551*10^-3</f>
        <v>1.0551E-3</v>
      </c>
      <c r="D7" s="117">
        <v>0.252</v>
      </c>
      <c r="E7" s="117">
        <f>2.52*10^-8</f>
        <v>2.5200000000000001E-8</v>
      </c>
      <c r="F7" s="117"/>
      <c r="G7" s="119">
        <f>1/F8</f>
        <v>2.9307107044088316E-4</v>
      </c>
      <c r="H7" s="115"/>
      <c r="I7" s="115"/>
    </row>
    <row r="8" spans="2:9">
      <c r="B8" s="116" t="s">
        <v>33</v>
      </c>
      <c r="C8" s="117">
        <v>3.6</v>
      </c>
      <c r="D8" s="117">
        <v>860</v>
      </c>
      <c r="E8" s="117">
        <f>8.6*10^-5</f>
        <v>8.6000000000000003E-5</v>
      </c>
      <c r="F8" s="121">
        <v>3412.1416300000001</v>
      </c>
      <c r="G8" s="123"/>
      <c r="H8" s="115"/>
      <c r="I8" s="124"/>
    </row>
    <row r="9" spans="2:9">
      <c r="B9" s="115"/>
      <c r="C9" s="125"/>
      <c r="D9" s="125"/>
      <c r="E9" s="125"/>
      <c r="F9" s="125"/>
      <c r="G9" s="126"/>
      <c r="H9" s="115"/>
      <c r="I9" s="115"/>
    </row>
    <row r="10" spans="2:9">
      <c r="B10" s="115"/>
      <c r="C10" s="125"/>
      <c r="D10" s="125"/>
      <c r="E10" s="125"/>
      <c r="F10" s="125"/>
      <c r="G10" s="126"/>
      <c r="H10" s="115"/>
      <c r="I10" s="115"/>
    </row>
    <row r="11" spans="2:9">
      <c r="B11" s="165" t="s">
        <v>34</v>
      </c>
      <c r="C11" s="125"/>
      <c r="D11" s="125"/>
      <c r="E11" s="125"/>
      <c r="F11" s="125"/>
      <c r="G11" s="126"/>
      <c r="H11" s="115"/>
      <c r="I11" s="115"/>
    </row>
    <row r="12" spans="2:9">
      <c r="B12" s="113" t="s">
        <v>23</v>
      </c>
      <c r="C12" s="114" t="s">
        <v>35</v>
      </c>
      <c r="D12" s="114" t="s">
        <v>36</v>
      </c>
      <c r="E12" s="114" t="s">
        <v>37</v>
      </c>
      <c r="F12" s="114" t="s">
        <v>38</v>
      </c>
      <c r="G12" s="114" t="s">
        <v>39</v>
      </c>
      <c r="H12" s="114" t="s">
        <v>40</v>
      </c>
      <c r="I12" s="115"/>
    </row>
    <row r="13" spans="2:9">
      <c r="B13" s="116" t="s">
        <v>41</v>
      </c>
      <c r="C13" s="117"/>
      <c r="D13" s="117">
        <v>1E-3</v>
      </c>
      <c r="E13" s="127">
        <f>9.84207*10^-4</f>
        <v>9.8420699999999996E-4</v>
      </c>
      <c r="F13" s="128">
        <f>1.10231*10^-3</f>
        <v>1.10231E-3</v>
      </c>
      <c r="G13" s="129">
        <v>2.2046199999999998</v>
      </c>
      <c r="H13" s="130">
        <f>G13*16</f>
        <v>35.273919999999997</v>
      </c>
      <c r="I13" s="115"/>
    </row>
    <row r="14" spans="2:9">
      <c r="B14" s="116" t="s">
        <v>42</v>
      </c>
      <c r="C14" s="117">
        <v>1000</v>
      </c>
      <c r="D14" s="117"/>
      <c r="E14" s="131">
        <v>0.98420700000000005</v>
      </c>
      <c r="F14" s="117">
        <v>1.1023099999999999</v>
      </c>
      <c r="G14" s="121">
        <v>2204.62</v>
      </c>
      <c r="H14" s="121">
        <f>G14*16</f>
        <v>35273.919999999998</v>
      </c>
      <c r="I14" s="115"/>
    </row>
    <row r="15" spans="2:9">
      <c r="B15" s="116" t="s">
        <v>43</v>
      </c>
      <c r="C15" s="121">
        <f>1/E13</f>
        <v>1016.0464211288886</v>
      </c>
      <c r="D15" s="132">
        <f>1/E14</f>
        <v>1.0160464211288884</v>
      </c>
      <c r="E15" s="117"/>
      <c r="F15" s="132">
        <v>1.1200000000000001</v>
      </c>
      <c r="G15" s="121">
        <v>2240</v>
      </c>
      <c r="H15" s="121">
        <f>G15*16</f>
        <v>35840</v>
      </c>
      <c r="I15" s="115"/>
    </row>
    <row r="16" spans="2:9">
      <c r="B16" s="116" t="s">
        <v>44</v>
      </c>
      <c r="C16" s="133">
        <f>1/F13</f>
        <v>907.18581887127937</v>
      </c>
      <c r="D16" s="131">
        <f>C16*D13</f>
        <v>0.90718581887127936</v>
      </c>
      <c r="E16" s="131">
        <f>C16*E13</f>
        <v>0.89285863323384518</v>
      </c>
      <c r="F16" s="117"/>
      <c r="G16" s="121">
        <v>2000</v>
      </c>
      <c r="H16" s="121">
        <f>G16*16</f>
        <v>32000</v>
      </c>
      <c r="I16" s="115"/>
    </row>
    <row r="17" spans="2:10">
      <c r="B17" s="116" t="s">
        <v>45</v>
      </c>
      <c r="C17" s="131">
        <f>1/G13</f>
        <v>0.45359290943563974</v>
      </c>
      <c r="D17" s="127">
        <f>1/G14</f>
        <v>4.535929094356397E-4</v>
      </c>
      <c r="E17" s="127">
        <f>1/G15</f>
        <v>4.4642857142857141E-4</v>
      </c>
      <c r="F17" s="117">
        <f>1/G16</f>
        <v>5.0000000000000001E-4</v>
      </c>
      <c r="G17" s="123"/>
      <c r="H17" s="117">
        <v>16</v>
      </c>
      <c r="I17" s="115"/>
    </row>
    <row r="18" spans="2:10">
      <c r="B18" s="116" t="s">
        <v>46</v>
      </c>
      <c r="C18" s="128">
        <f>C17/16</f>
        <v>2.8349556839727483E-2</v>
      </c>
      <c r="D18" s="134">
        <f>D17/16</f>
        <v>2.8349556839727481E-5</v>
      </c>
      <c r="E18" s="134">
        <f>E17/16</f>
        <v>2.7901785714285713E-5</v>
      </c>
      <c r="F18" s="134">
        <f>F17/16</f>
        <v>3.1250000000000001E-5</v>
      </c>
      <c r="G18" s="117">
        <f>1/16</f>
        <v>6.25E-2</v>
      </c>
      <c r="H18" s="117"/>
      <c r="I18" s="115"/>
    </row>
    <row r="19" spans="2:10">
      <c r="B19" s="115"/>
      <c r="C19" s="125"/>
      <c r="D19" s="125"/>
      <c r="E19" s="125"/>
      <c r="F19" s="125"/>
      <c r="G19" s="126"/>
      <c r="H19" s="115"/>
      <c r="I19" s="115"/>
    </row>
    <row r="20" spans="2:10">
      <c r="B20" s="115"/>
      <c r="C20" s="125"/>
      <c r="D20" s="125"/>
      <c r="E20" s="125"/>
      <c r="F20" s="125"/>
      <c r="G20" s="126"/>
      <c r="H20" s="115"/>
      <c r="I20" s="115"/>
    </row>
    <row r="21" spans="2:10">
      <c r="B21" s="165" t="s">
        <v>47</v>
      </c>
      <c r="C21" s="115"/>
      <c r="D21" s="115"/>
      <c r="E21" s="115"/>
      <c r="F21" s="115"/>
      <c r="G21" s="126"/>
      <c r="H21" s="115"/>
      <c r="I21" s="115"/>
    </row>
    <row r="22" spans="2:10">
      <c r="B22" s="113" t="s">
        <v>23</v>
      </c>
      <c r="C22" s="114" t="s">
        <v>48</v>
      </c>
      <c r="D22" s="114" t="s">
        <v>49</v>
      </c>
      <c r="E22" s="114" t="s">
        <v>50</v>
      </c>
      <c r="F22" s="114" t="s">
        <v>51</v>
      </c>
      <c r="G22" s="114" t="s">
        <v>52</v>
      </c>
      <c r="H22" s="114" t="s">
        <v>53</v>
      </c>
      <c r="I22" s="115"/>
    </row>
    <row r="23" spans="2:10">
      <c r="B23" s="116" t="s">
        <v>54</v>
      </c>
      <c r="C23" s="117"/>
      <c r="D23" s="131">
        <v>0.83267400000000003</v>
      </c>
      <c r="E23" s="128">
        <f>1/C25</f>
        <v>2.3809523809523808E-2</v>
      </c>
      <c r="F23" s="131">
        <v>0.13368099999999999</v>
      </c>
      <c r="G23" s="106">
        <v>3.7854100000000002</v>
      </c>
      <c r="H23" s="135">
        <v>3.7854100000000003E-3</v>
      </c>
      <c r="I23" s="136"/>
    </row>
    <row r="24" spans="2:10">
      <c r="B24" s="116" t="s">
        <v>55</v>
      </c>
      <c r="C24" s="131">
        <f>1/D23</f>
        <v>1.2009501917917456</v>
      </c>
      <c r="D24" s="117"/>
      <c r="E24" s="128">
        <f>1/D25</f>
        <v>2.8594052185517756E-2</v>
      </c>
      <c r="F24" s="131">
        <f>1/D26</f>
        <v>0.16054422258891232</v>
      </c>
      <c r="G24" s="131">
        <v>4.5460900000000004</v>
      </c>
      <c r="H24" s="128">
        <f>G24/1000</f>
        <v>4.54609E-3</v>
      </c>
      <c r="I24" s="136"/>
    </row>
    <row r="25" spans="2:10">
      <c r="B25" s="116" t="s">
        <v>56</v>
      </c>
      <c r="C25" s="107">
        <v>42</v>
      </c>
      <c r="D25" s="130">
        <f>C25*D23</f>
        <v>34.972307999999998</v>
      </c>
      <c r="E25" s="117"/>
      <c r="F25" s="132">
        <f>1/E26</f>
        <v>5.6146019999999996</v>
      </c>
      <c r="G25" s="137">
        <v>158.98722000000001</v>
      </c>
      <c r="H25" s="128">
        <f>G25/1000</f>
        <v>0.15898722000000001</v>
      </c>
      <c r="I25" s="136"/>
    </row>
    <row r="26" spans="2:10">
      <c r="B26" s="116" t="s">
        <v>257</v>
      </c>
      <c r="C26" s="131">
        <f>1/F23</f>
        <v>7.4804946103036336</v>
      </c>
      <c r="D26" s="132">
        <f>C26*D23</f>
        <v>6.2288133691399681</v>
      </c>
      <c r="E26" s="128">
        <f>C26*E23</f>
        <v>0.17810701453103889</v>
      </c>
      <c r="F26" s="117"/>
      <c r="G26" s="138">
        <v>28.316800000000001</v>
      </c>
      <c r="H26" s="128">
        <f>G26/1000</f>
        <v>2.83168E-2</v>
      </c>
      <c r="I26" s="136"/>
    </row>
    <row r="27" spans="2:10">
      <c r="B27" s="116" t="s">
        <v>57</v>
      </c>
      <c r="C27" s="131">
        <v>0.26417217685798894</v>
      </c>
      <c r="D27" s="131">
        <f>1/G24</f>
        <v>0.21996924829908776</v>
      </c>
      <c r="E27" s="128">
        <f>1/G25</f>
        <v>6.2898137347140223E-3</v>
      </c>
      <c r="F27" s="131">
        <f>1/G26</f>
        <v>3.5314724827664144E-2</v>
      </c>
      <c r="G27" s="123"/>
      <c r="H27" s="117">
        <v>1E-3</v>
      </c>
      <c r="I27" s="136"/>
    </row>
    <row r="28" spans="2:10">
      <c r="B28" s="116" t="s">
        <v>58</v>
      </c>
      <c r="C28" s="138">
        <f>1/H23</f>
        <v>264.17217685798892</v>
      </c>
      <c r="D28" s="138">
        <f>1/H24</f>
        <v>219.96924829908778</v>
      </c>
      <c r="E28" s="131">
        <f>1/H25</f>
        <v>6.2898137347140226</v>
      </c>
      <c r="F28" s="139">
        <f>1/H26</f>
        <v>35.314724827664143</v>
      </c>
      <c r="G28" s="121">
        <v>1000</v>
      </c>
      <c r="H28" s="123"/>
      <c r="I28" s="115"/>
    </row>
    <row r="29" spans="2:10">
      <c r="B29" s="115"/>
      <c r="C29" s="125"/>
      <c r="D29" s="125"/>
      <c r="E29" s="125"/>
      <c r="F29" s="125"/>
      <c r="G29" s="126"/>
      <c r="H29" s="115"/>
      <c r="I29" s="115"/>
    </row>
    <row r="30" spans="2:10">
      <c r="B30" s="115"/>
      <c r="C30" s="125"/>
      <c r="D30" s="125"/>
      <c r="E30" s="125"/>
      <c r="F30" s="125"/>
      <c r="G30" s="126"/>
      <c r="H30" s="115"/>
      <c r="I30" s="115"/>
    </row>
    <row r="31" spans="2:10">
      <c r="B31" s="165" t="s">
        <v>59</v>
      </c>
      <c r="C31" s="115"/>
      <c r="D31" s="115"/>
      <c r="E31" s="115"/>
      <c r="F31" s="115"/>
      <c r="G31" s="126"/>
      <c r="H31" s="115"/>
      <c r="I31" s="115"/>
    </row>
    <row r="32" spans="2:10">
      <c r="B32" s="113" t="s">
        <v>23</v>
      </c>
      <c r="C32" s="114" t="s">
        <v>60</v>
      </c>
      <c r="D32" s="114" t="s">
        <v>61</v>
      </c>
      <c r="E32" s="114" t="s">
        <v>62</v>
      </c>
      <c r="F32" s="114" t="s">
        <v>63</v>
      </c>
      <c r="G32" s="114" t="s">
        <v>64</v>
      </c>
      <c r="H32" s="114" t="s">
        <v>65</v>
      </c>
      <c r="I32" s="114" t="s">
        <v>66</v>
      </c>
      <c r="J32" s="140"/>
    </row>
    <row r="33" spans="2:10">
      <c r="B33" s="116" t="s">
        <v>67</v>
      </c>
      <c r="C33" s="117"/>
      <c r="D33" s="131">
        <f>1/C34</f>
        <v>8.3333333333333329E-2</v>
      </c>
      <c r="E33" s="128">
        <f>1/C35</f>
        <v>2.7777777777777776E-2</v>
      </c>
      <c r="F33" s="119">
        <f>1/C36</f>
        <v>1.5782828282828283E-5</v>
      </c>
      <c r="G33" s="108">
        <f>1/C37</f>
        <v>1.3714900141812068E-5</v>
      </c>
      <c r="H33" s="128">
        <f>1/C38</f>
        <v>2.5399986284007407E-2</v>
      </c>
      <c r="I33" s="119">
        <f>H33/1000</f>
        <v>2.5399986284007409E-5</v>
      </c>
      <c r="J33" s="140"/>
    </row>
    <row r="34" spans="2:10">
      <c r="B34" s="116" t="s">
        <v>68</v>
      </c>
      <c r="C34" s="121">
        <v>12</v>
      </c>
      <c r="D34" s="117"/>
      <c r="E34" s="131">
        <f>1/D35</f>
        <v>0.33333333333333331</v>
      </c>
      <c r="F34" s="127">
        <f>1/D36</f>
        <v>1.8939393939393939E-4</v>
      </c>
      <c r="G34" s="127">
        <f>1/D37</f>
        <v>1.6457880170174483E-4</v>
      </c>
      <c r="H34" s="131">
        <f>1/D38</f>
        <v>0.30479983540808891</v>
      </c>
      <c r="I34" s="127">
        <f>H34/1000</f>
        <v>3.0479983540808892E-4</v>
      </c>
      <c r="J34" s="140"/>
    </row>
    <row r="35" spans="2:10">
      <c r="B35" s="116" t="s">
        <v>69</v>
      </c>
      <c r="C35" s="121">
        <v>36</v>
      </c>
      <c r="D35" s="121">
        <f>C35*D33</f>
        <v>3</v>
      </c>
      <c r="E35" s="117"/>
      <c r="F35" s="141">
        <f>1/E36</f>
        <v>5.6818181818181815E-4</v>
      </c>
      <c r="G35" s="127">
        <f>1/E37</f>
        <v>4.9373640510523445E-4</v>
      </c>
      <c r="H35" s="131">
        <f>1/E38</f>
        <v>0.91439950622426669</v>
      </c>
      <c r="I35" s="139">
        <f>H35/1000</f>
        <v>9.143995062242667E-4</v>
      </c>
      <c r="J35" s="140"/>
    </row>
    <row r="36" spans="2:10">
      <c r="B36" s="116" t="s">
        <v>70</v>
      </c>
      <c r="C36" s="121">
        <v>63360</v>
      </c>
      <c r="D36" s="121">
        <f>C36*D33</f>
        <v>5280</v>
      </c>
      <c r="E36" s="121">
        <f>C36*E33</f>
        <v>1760</v>
      </c>
      <c r="F36" s="117"/>
      <c r="G36" s="131">
        <f>1/F37</f>
        <v>0.86897607298521262</v>
      </c>
      <c r="H36" s="121">
        <f>1/F38</f>
        <v>1609.3431309547093</v>
      </c>
      <c r="I36" s="131">
        <f>H36/1000</f>
        <v>1.6093431309547093</v>
      </c>
      <c r="J36" s="140"/>
    </row>
    <row r="37" spans="2:10">
      <c r="B37" s="116" t="s">
        <v>71</v>
      </c>
      <c r="C37" s="121">
        <v>72913.399999999994</v>
      </c>
      <c r="D37" s="121">
        <f>C37*D33</f>
        <v>6076.1166666666659</v>
      </c>
      <c r="E37" s="121">
        <f>C37*E33</f>
        <v>2025.372222222222</v>
      </c>
      <c r="F37" s="131">
        <f>C37*F33</f>
        <v>1.1507796717171717</v>
      </c>
      <c r="G37" s="123"/>
      <c r="H37" s="121">
        <f>1/G38</f>
        <v>1851.9993599203453</v>
      </c>
      <c r="I37" s="131">
        <f>H37/1000</f>
        <v>1.8519993599203453</v>
      </c>
      <c r="J37" s="140"/>
    </row>
    <row r="38" spans="2:10">
      <c r="B38" s="116" t="s">
        <v>72</v>
      </c>
      <c r="C38" s="137">
        <v>39.370100000000001</v>
      </c>
      <c r="D38" s="139">
        <f>C38*D33</f>
        <v>3.2808416666666664</v>
      </c>
      <c r="E38" s="139">
        <f>C38*E33</f>
        <v>1.0936138888888889</v>
      </c>
      <c r="F38" s="127">
        <f>C38*F33</f>
        <v>6.2137152777777776E-4</v>
      </c>
      <c r="G38" s="127">
        <f>C38*G33</f>
        <v>5.3995699007315537E-4</v>
      </c>
      <c r="H38" s="123"/>
      <c r="I38" s="131">
        <f>1/H39</f>
        <v>1E-3</v>
      </c>
      <c r="J38" s="140"/>
    </row>
    <row r="39" spans="2:10">
      <c r="B39" s="116" t="s">
        <v>73</v>
      </c>
      <c r="C39" s="121">
        <f>C38*1000</f>
        <v>39370.1</v>
      </c>
      <c r="D39" s="138">
        <f>D38*1000</f>
        <v>3280.8416666666662</v>
      </c>
      <c r="E39" s="138">
        <f>E38*1000</f>
        <v>1093.6138888888888</v>
      </c>
      <c r="F39" s="130">
        <f>F38*1000</f>
        <v>0.62137152777777771</v>
      </c>
      <c r="G39" s="130">
        <f>G38*1000</f>
        <v>0.53995699007315534</v>
      </c>
      <c r="H39" s="121">
        <v>1000</v>
      </c>
      <c r="I39" s="142"/>
      <c r="J39" s="140"/>
    </row>
    <row r="40" spans="2:10">
      <c r="B40" s="143"/>
      <c r="C40" s="144"/>
      <c r="D40" s="144"/>
      <c r="E40" s="144"/>
      <c r="F40" s="144"/>
      <c r="G40" s="145"/>
      <c r="H40" s="143"/>
      <c r="I40" s="143"/>
      <c r="J40" s="140"/>
    </row>
    <row r="41" spans="2:10">
      <c r="B41" s="143"/>
      <c r="C41" s="144"/>
      <c r="D41" s="144"/>
      <c r="E41" s="144"/>
      <c r="F41" s="144"/>
      <c r="G41" s="145"/>
      <c r="H41" s="143"/>
      <c r="I41" s="143"/>
      <c r="J41" s="140"/>
    </row>
    <row r="42" spans="2:10">
      <c r="B42" s="166" t="s">
        <v>74</v>
      </c>
      <c r="C42" s="143"/>
      <c r="D42" s="140"/>
      <c r="E42" s="140"/>
      <c r="F42" s="140"/>
      <c r="G42" s="140"/>
      <c r="H42" s="140"/>
      <c r="I42" s="140"/>
      <c r="J42" s="140"/>
    </row>
    <row r="43" spans="2:10">
      <c r="B43" s="113" t="s">
        <v>23</v>
      </c>
      <c r="C43" s="114" t="s">
        <v>75</v>
      </c>
      <c r="D43" s="114" t="s">
        <v>76</v>
      </c>
      <c r="E43" s="146"/>
      <c r="F43" s="140"/>
      <c r="G43" s="140"/>
      <c r="H43" s="140"/>
      <c r="I43" s="140"/>
      <c r="J43" s="140"/>
    </row>
    <row r="44" spans="2:10">
      <c r="B44" s="116" t="s">
        <v>77</v>
      </c>
      <c r="C44" s="117"/>
      <c r="D44" s="131">
        <v>0.74569987199999999</v>
      </c>
      <c r="E44" s="146"/>
      <c r="F44" s="140"/>
      <c r="G44" s="140"/>
      <c r="H44" s="140"/>
      <c r="I44" s="140"/>
      <c r="J44" s="140"/>
    </row>
    <row r="45" spans="2:10">
      <c r="B45" s="116" t="s">
        <v>78</v>
      </c>
      <c r="C45" s="132">
        <f>1/D44</f>
        <v>1.3410220888438076</v>
      </c>
      <c r="D45" s="117"/>
      <c r="E45" s="146"/>
      <c r="F45" s="140"/>
      <c r="G45" s="140"/>
      <c r="H45" s="140"/>
      <c r="I45" s="140"/>
      <c r="J45" s="140"/>
    </row>
    <row r="46" spans="2:10">
      <c r="B46" s="140"/>
      <c r="C46" s="140"/>
      <c r="D46" s="140"/>
      <c r="E46" s="140"/>
      <c r="F46" s="140"/>
      <c r="G46" s="140"/>
      <c r="H46" s="140"/>
      <c r="I46" s="140"/>
      <c r="J46" s="140"/>
    </row>
    <row r="48" spans="2:10">
      <c r="B48" s="165" t="s">
        <v>79</v>
      </c>
      <c r="C48" s="167"/>
      <c r="D48" s="167"/>
    </row>
    <row r="49" spans="2:4">
      <c r="B49" s="113" t="s">
        <v>80</v>
      </c>
      <c r="C49" s="113" t="s">
        <v>81</v>
      </c>
      <c r="D49" s="113" t="s">
        <v>82</v>
      </c>
    </row>
    <row r="50" spans="2:4">
      <c r="B50" s="109" t="s">
        <v>83</v>
      </c>
      <c r="C50" s="109" t="s">
        <v>84</v>
      </c>
      <c r="D50" s="109" t="s">
        <v>85</v>
      </c>
    </row>
    <row r="51" spans="2:4">
      <c r="B51" s="109" t="s">
        <v>86</v>
      </c>
      <c r="C51" s="109" t="s">
        <v>87</v>
      </c>
      <c r="D51" s="109" t="s">
        <v>88</v>
      </c>
    </row>
    <row r="52" spans="2:4">
      <c r="B52" s="109" t="s">
        <v>89</v>
      </c>
      <c r="C52" s="109" t="s">
        <v>90</v>
      </c>
      <c r="D52" s="109" t="s">
        <v>91</v>
      </c>
    </row>
    <row r="53" spans="2:4">
      <c r="B53" s="109" t="s">
        <v>92</v>
      </c>
      <c r="C53" s="109" t="s">
        <v>93</v>
      </c>
      <c r="D53" s="109" t="s">
        <v>94</v>
      </c>
    </row>
    <row r="54" spans="2:4">
      <c r="B54" s="109" t="s">
        <v>95</v>
      </c>
      <c r="C54" s="109" t="s">
        <v>96</v>
      </c>
      <c r="D54" s="109" t="s">
        <v>97</v>
      </c>
    </row>
    <row r="55" spans="2:4">
      <c r="B55" s="109" t="s">
        <v>98</v>
      </c>
      <c r="C55" s="109" t="s">
        <v>99</v>
      </c>
      <c r="D55" s="109" t="s">
        <v>100</v>
      </c>
    </row>
    <row r="56" spans="2:4">
      <c r="B56" s="109" t="s">
        <v>101</v>
      </c>
      <c r="C56" s="109" t="s">
        <v>102</v>
      </c>
      <c r="D56" s="109" t="s">
        <v>103</v>
      </c>
    </row>
    <row r="57" spans="2:4">
      <c r="B57" s="109" t="s">
        <v>104</v>
      </c>
      <c r="C57" s="109" t="s">
        <v>105</v>
      </c>
      <c r="D57" s="109" t="s">
        <v>106</v>
      </c>
    </row>
    <row r="58" spans="2:4">
      <c r="B58" s="109" t="s">
        <v>107</v>
      </c>
      <c r="C58" s="109" t="s">
        <v>108</v>
      </c>
      <c r="D58" s="109" t="s">
        <v>109</v>
      </c>
    </row>
    <row r="59" spans="2:4">
      <c r="B59" s="109" t="s">
        <v>110</v>
      </c>
      <c r="C59" s="109" t="s">
        <v>111</v>
      </c>
      <c r="D59" s="109" t="s">
        <v>112</v>
      </c>
    </row>
    <row r="60" spans="2:4">
      <c r="B60" s="110" t="s">
        <v>113</v>
      </c>
      <c r="C60" s="109" t="s">
        <v>114</v>
      </c>
      <c r="D60" s="109" t="s">
        <v>115</v>
      </c>
    </row>
    <row r="61" spans="2:4">
      <c r="B61" s="110" t="s">
        <v>116</v>
      </c>
      <c r="C61" s="109" t="s">
        <v>117</v>
      </c>
      <c r="D61" s="109" t="s">
        <v>118</v>
      </c>
    </row>
    <row r="62" spans="2:4">
      <c r="B62" s="110" t="s">
        <v>119</v>
      </c>
      <c r="C62" s="109" t="s">
        <v>120</v>
      </c>
      <c r="D62" s="109" t="s">
        <v>65</v>
      </c>
    </row>
    <row r="63" spans="2:4">
      <c r="B63" s="110" t="s">
        <v>121</v>
      </c>
      <c r="C63" s="109" t="s">
        <v>122</v>
      </c>
      <c r="D63" s="109" t="s">
        <v>65</v>
      </c>
    </row>
    <row r="64" spans="2:4">
      <c r="B64" s="110" t="s">
        <v>123</v>
      </c>
      <c r="C64" s="109" t="s">
        <v>124</v>
      </c>
      <c r="D64" s="109" t="s">
        <v>125</v>
      </c>
    </row>
    <row r="65" spans="2:10">
      <c r="B65" s="110" t="s">
        <v>126</v>
      </c>
      <c r="C65" s="109" t="s">
        <v>127</v>
      </c>
      <c r="D65" s="109" t="s">
        <v>128</v>
      </c>
    </row>
    <row r="66" spans="2:10">
      <c r="B66" s="111" t="s">
        <v>129</v>
      </c>
      <c r="C66" s="109" t="s">
        <v>130</v>
      </c>
      <c r="D66" s="109" t="s">
        <v>131</v>
      </c>
    </row>
    <row r="67" spans="2:10">
      <c r="B67" s="111" t="s">
        <v>132</v>
      </c>
      <c r="C67" s="109" t="s">
        <v>133</v>
      </c>
      <c r="D67" s="109" t="s">
        <v>134</v>
      </c>
    </row>
    <row r="68" spans="2:10">
      <c r="B68" s="111" t="s">
        <v>135</v>
      </c>
      <c r="C68" s="109" t="s">
        <v>136</v>
      </c>
      <c r="D68" s="109" t="s">
        <v>137</v>
      </c>
    </row>
    <row r="69" spans="2:10">
      <c r="B69" s="111" t="s">
        <v>138</v>
      </c>
      <c r="C69" s="109" t="s">
        <v>139</v>
      </c>
      <c r="D69" s="109" t="s">
        <v>140</v>
      </c>
    </row>
    <row r="71" spans="2:10">
      <c r="B71" s="168" t="s">
        <v>141</v>
      </c>
      <c r="C71" s="169"/>
    </row>
    <row r="72" spans="2:10">
      <c r="B72" s="170" t="s">
        <v>142</v>
      </c>
      <c r="C72" s="151"/>
    </row>
    <row r="73" spans="2:10">
      <c r="B73" s="170" t="s">
        <v>143</v>
      </c>
      <c r="C73" s="151"/>
    </row>
    <row r="76" spans="2:10">
      <c r="B76" s="165" t="s">
        <v>144</v>
      </c>
    </row>
    <row r="77" spans="2:10">
      <c r="B77" s="113" t="s">
        <v>145</v>
      </c>
      <c r="C77" s="113" t="s">
        <v>146</v>
      </c>
      <c r="D77" s="113" t="s">
        <v>141</v>
      </c>
      <c r="E77" s="147"/>
      <c r="F77" s="147"/>
      <c r="G77" s="147"/>
      <c r="H77" s="147"/>
      <c r="I77" s="147"/>
      <c r="J77" s="147"/>
    </row>
    <row r="78" spans="2:10">
      <c r="B78" s="148" t="s">
        <v>147</v>
      </c>
      <c r="C78" s="148">
        <v>1.9</v>
      </c>
      <c r="D78" s="149" t="s">
        <v>195</v>
      </c>
      <c r="E78" s="147"/>
      <c r="F78" s="147"/>
      <c r="G78" s="147"/>
      <c r="H78" s="147"/>
      <c r="I78" s="147"/>
      <c r="J78" s="147"/>
    </row>
    <row r="79" spans="2:10">
      <c r="B79" s="148" t="s">
        <v>196</v>
      </c>
      <c r="C79" s="148">
        <v>11</v>
      </c>
      <c r="D79" s="149" t="s">
        <v>209</v>
      </c>
      <c r="E79" s="147"/>
      <c r="F79" s="147"/>
      <c r="G79" s="147"/>
      <c r="H79" s="147"/>
      <c r="I79" s="147"/>
      <c r="J79" s="147"/>
    </row>
    <row r="80" spans="2:10">
      <c r="B80" s="148" t="s">
        <v>148</v>
      </c>
      <c r="C80" s="148">
        <v>25</v>
      </c>
      <c r="D80" s="150" t="s">
        <v>210</v>
      </c>
      <c r="E80" s="147"/>
      <c r="F80" s="147"/>
      <c r="G80" s="147"/>
      <c r="H80" s="147"/>
      <c r="I80" s="147"/>
      <c r="J80" s="147"/>
    </row>
    <row r="81" spans="2:4">
      <c r="B81" s="148" t="s">
        <v>149</v>
      </c>
      <c r="C81" s="148">
        <v>298</v>
      </c>
      <c r="D81" s="150" t="s">
        <v>210</v>
      </c>
    </row>
    <row r="82" spans="2:4">
      <c r="B82" s="165"/>
    </row>
  </sheetData>
  <hyperlinks>
    <hyperlink ref="D78" r:id="rId1" xr:uid="{00000000-0004-0000-0200-000000000000}"/>
    <hyperlink ref="D79" r:id="rId2" xr:uid="{936FCBFA-3E4B-47E4-ABD8-113A1E56E0AA}"/>
    <hyperlink ref="D81" r:id="rId3" xr:uid="{3B24D4E1-6B22-4CD9-A91B-646657C7C20F}"/>
    <hyperlink ref="D80" r:id="rId4" xr:uid="{1565FD97-EAA0-4990-977B-F97658DA9066}"/>
  </hyperlinks>
  <pageMargins left="0.70000000000000007" right="0.70000000000000007" top="0.75" bottom="0.75" header="0.30000000000000004" footer="0.30000000000000004"/>
  <pageSetup paperSize="9"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2:BE56"/>
  <sheetViews>
    <sheetView showGridLines="0" zoomScaleNormal="100" workbookViewId="0"/>
  </sheetViews>
  <sheetFormatPr defaultColWidth="10" defaultRowHeight="15" customHeight="1"/>
  <cols>
    <col min="1" max="1" width="6.6640625" style="1" customWidth="1"/>
    <col min="2" max="2" width="66.21875" style="1" customWidth="1"/>
    <col min="3" max="38" width="7.77734375" style="1" customWidth="1"/>
    <col min="39" max="16384" width="10" style="1"/>
  </cols>
  <sheetData>
    <row r="2" spans="2:50" s="80" customFormat="1" ht="14.4">
      <c r="B2" s="58" t="s">
        <v>291</v>
      </c>
    </row>
    <row r="3" spans="2:50" customFormat="1" ht="14.4">
      <c r="B3" s="79"/>
      <c r="C3" s="78"/>
      <c r="D3" s="78"/>
      <c r="E3" s="78"/>
      <c r="F3" s="78"/>
      <c r="G3" s="78"/>
      <c r="H3" s="78"/>
      <c r="I3" s="78"/>
      <c r="J3" s="78"/>
      <c r="K3" s="78"/>
      <c r="L3" s="78"/>
      <c r="M3" s="78"/>
      <c r="N3" s="78"/>
      <c r="O3" s="78"/>
      <c r="P3" s="78"/>
      <c r="Q3" s="78"/>
    </row>
    <row r="4" spans="2:50" s="78" customFormat="1" ht="15.6">
      <c r="B4" s="90" t="s">
        <v>290</v>
      </c>
      <c r="C4" s="154">
        <v>2021</v>
      </c>
      <c r="D4" s="154">
        <v>2022</v>
      </c>
      <c r="E4" s="154">
        <v>2023</v>
      </c>
      <c r="F4" s="91">
        <f>E4+1</f>
        <v>2024</v>
      </c>
      <c r="G4" s="91">
        <f t="shared" ref="G4:T4" si="0">F4+1</f>
        <v>2025</v>
      </c>
      <c r="H4" s="91">
        <f t="shared" si="0"/>
        <v>2026</v>
      </c>
      <c r="I4" s="91">
        <f t="shared" si="0"/>
        <v>2027</v>
      </c>
      <c r="J4" s="91">
        <f t="shared" si="0"/>
        <v>2028</v>
      </c>
      <c r="K4" s="91">
        <f t="shared" si="0"/>
        <v>2029</v>
      </c>
      <c r="L4" s="91">
        <f t="shared" si="0"/>
        <v>2030</v>
      </c>
      <c r="M4" s="91">
        <f t="shared" si="0"/>
        <v>2031</v>
      </c>
      <c r="N4" s="91">
        <f t="shared" si="0"/>
        <v>2032</v>
      </c>
      <c r="O4" s="91">
        <f t="shared" si="0"/>
        <v>2033</v>
      </c>
      <c r="P4" s="91">
        <f t="shared" si="0"/>
        <v>2034</v>
      </c>
      <c r="Q4" s="91">
        <f t="shared" si="0"/>
        <v>2035</v>
      </c>
      <c r="R4" s="91">
        <f t="shared" si="0"/>
        <v>2036</v>
      </c>
      <c r="S4" s="91">
        <f t="shared" si="0"/>
        <v>2037</v>
      </c>
      <c r="T4" s="91">
        <f t="shared" si="0"/>
        <v>2038</v>
      </c>
    </row>
    <row r="5" spans="2:50" customFormat="1" ht="14.4">
      <c r="B5" s="158" t="s">
        <v>292</v>
      </c>
      <c r="C5" s="35"/>
      <c r="D5" s="35"/>
      <c r="E5" s="35"/>
      <c r="F5" s="93">
        <v>31</v>
      </c>
      <c r="G5" s="93">
        <v>31</v>
      </c>
      <c r="H5" s="93">
        <v>31</v>
      </c>
      <c r="I5" s="93">
        <v>31</v>
      </c>
      <c r="J5" s="93">
        <v>31</v>
      </c>
      <c r="K5" s="93">
        <v>31</v>
      </c>
      <c r="L5" s="93">
        <v>31</v>
      </c>
      <c r="M5" s="93">
        <v>31</v>
      </c>
      <c r="N5" s="93">
        <v>31</v>
      </c>
      <c r="O5" s="93">
        <v>31</v>
      </c>
      <c r="P5" s="93">
        <v>31</v>
      </c>
      <c r="Q5" s="93">
        <v>31</v>
      </c>
      <c r="R5" s="93">
        <v>31</v>
      </c>
      <c r="S5" s="93">
        <v>31</v>
      </c>
      <c r="T5" s="93">
        <v>31</v>
      </c>
    </row>
    <row r="6" spans="2:50" customFormat="1" ht="14.4">
      <c r="B6" s="158" t="s">
        <v>293</v>
      </c>
      <c r="C6" s="35"/>
      <c r="D6" s="35"/>
      <c r="E6" s="35"/>
      <c r="F6" s="93">
        <v>31</v>
      </c>
      <c r="G6" s="93">
        <v>31</v>
      </c>
      <c r="H6" s="93">
        <v>31</v>
      </c>
      <c r="I6" s="93">
        <v>31</v>
      </c>
      <c r="J6" s="93">
        <v>31</v>
      </c>
      <c r="K6" s="93">
        <v>31</v>
      </c>
      <c r="L6" s="93">
        <v>31</v>
      </c>
      <c r="M6" s="93">
        <v>31</v>
      </c>
      <c r="N6" s="93">
        <v>31</v>
      </c>
      <c r="O6" s="93">
        <v>31</v>
      </c>
      <c r="P6" s="93">
        <v>31</v>
      </c>
      <c r="Q6" s="93">
        <v>31</v>
      </c>
      <c r="R6" s="93">
        <v>31</v>
      </c>
      <c r="S6" s="93">
        <v>31</v>
      </c>
      <c r="T6" s="93">
        <v>31</v>
      </c>
    </row>
    <row r="7" spans="2:50" customFormat="1" ht="14.4">
      <c r="B7" s="158" t="s">
        <v>294</v>
      </c>
      <c r="C7" s="35"/>
      <c r="D7" s="35"/>
      <c r="E7" s="35"/>
      <c r="F7" s="93">
        <v>31</v>
      </c>
      <c r="G7" s="93">
        <v>31</v>
      </c>
      <c r="H7" s="93">
        <v>31</v>
      </c>
      <c r="I7" s="93">
        <v>31</v>
      </c>
      <c r="J7" s="93">
        <v>31</v>
      </c>
      <c r="K7" s="93">
        <v>31</v>
      </c>
      <c r="L7" s="93">
        <v>31</v>
      </c>
      <c r="M7" s="93">
        <v>31</v>
      </c>
      <c r="N7" s="93">
        <v>31</v>
      </c>
      <c r="O7" s="93">
        <v>31</v>
      </c>
      <c r="P7" s="93">
        <v>31</v>
      </c>
      <c r="Q7" s="93">
        <v>31</v>
      </c>
      <c r="R7" s="93">
        <v>31</v>
      </c>
      <c r="S7" s="93">
        <v>31</v>
      </c>
      <c r="T7" s="93">
        <v>31</v>
      </c>
    </row>
    <row r="8" spans="2:50" customFormat="1" ht="14.4">
      <c r="B8" s="158" t="s">
        <v>295</v>
      </c>
      <c r="C8" s="35"/>
      <c r="D8" s="35"/>
      <c r="E8" s="35"/>
      <c r="F8" s="92">
        <v>41.338205740690249</v>
      </c>
      <c r="G8" s="92">
        <v>40.166535496006333</v>
      </c>
      <c r="H8" s="92">
        <v>39.48716954013689</v>
      </c>
      <c r="I8" s="92">
        <v>40.94350395552901</v>
      </c>
      <c r="J8" s="92">
        <v>38.253385716734087</v>
      </c>
      <c r="K8" s="92">
        <v>34.375688838644493</v>
      </c>
      <c r="L8" s="92">
        <v>32.500613975464702</v>
      </c>
      <c r="M8" s="92">
        <v>31.822788503264199</v>
      </c>
      <c r="N8" s="92">
        <v>31.292645510615827</v>
      </c>
      <c r="O8" s="92">
        <v>29.68474569235353</v>
      </c>
      <c r="P8" s="92">
        <v>28.397890368737684</v>
      </c>
      <c r="Q8" s="92">
        <v>27.733346075799716</v>
      </c>
      <c r="R8" s="92">
        <v>27.176364549590961</v>
      </c>
      <c r="S8" s="92">
        <v>26.837457589136381</v>
      </c>
      <c r="T8" s="92">
        <v>26.477328833994942</v>
      </c>
    </row>
    <row r="9" spans="2:50" ht="14.4"/>
    <row r="10" spans="2:50" ht="14.4">
      <c r="B10" s="1" t="s">
        <v>372</v>
      </c>
    </row>
    <row r="11" spans="2:50" ht="14.4"/>
    <row r="12" spans="2:50" ht="14.4"/>
    <row r="13" spans="2:50" s="80" customFormat="1" ht="15" customHeight="1">
      <c r="B13" s="58" t="s">
        <v>211</v>
      </c>
    </row>
    <row r="15" spans="2:50" ht="15" customHeight="1">
      <c r="B15" s="152" t="s">
        <v>244</v>
      </c>
      <c r="C15" s="154">
        <v>2021</v>
      </c>
      <c r="D15" s="154">
        <v>2022</v>
      </c>
      <c r="E15" s="154">
        <v>2023</v>
      </c>
      <c r="F15" s="155">
        <f>E15+1</f>
        <v>2024</v>
      </c>
      <c r="G15" s="155">
        <f t="shared" ref="G15:AF15" si="1">F15+1</f>
        <v>2025</v>
      </c>
      <c r="H15" s="155">
        <f t="shared" si="1"/>
        <v>2026</v>
      </c>
      <c r="I15" s="155">
        <f t="shared" si="1"/>
        <v>2027</v>
      </c>
      <c r="J15" s="155">
        <f t="shared" si="1"/>
        <v>2028</v>
      </c>
      <c r="K15" s="155">
        <f t="shared" si="1"/>
        <v>2029</v>
      </c>
      <c r="L15" s="155">
        <f t="shared" si="1"/>
        <v>2030</v>
      </c>
      <c r="M15" s="155">
        <f t="shared" si="1"/>
        <v>2031</v>
      </c>
      <c r="N15" s="155">
        <f t="shared" si="1"/>
        <v>2032</v>
      </c>
      <c r="O15" s="155">
        <f t="shared" si="1"/>
        <v>2033</v>
      </c>
      <c r="P15" s="155">
        <f t="shared" si="1"/>
        <v>2034</v>
      </c>
      <c r="Q15" s="155">
        <f t="shared" si="1"/>
        <v>2035</v>
      </c>
      <c r="R15" s="155">
        <f t="shared" si="1"/>
        <v>2036</v>
      </c>
      <c r="S15" s="155">
        <f t="shared" si="1"/>
        <v>2037</v>
      </c>
      <c r="T15" s="155">
        <f t="shared" si="1"/>
        <v>2038</v>
      </c>
      <c r="U15" s="155">
        <f t="shared" si="1"/>
        <v>2039</v>
      </c>
      <c r="V15" s="155">
        <f t="shared" si="1"/>
        <v>2040</v>
      </c>
      <c r="W15" s="155">
        <f t="shared" si="1"/>
        <v>2041</v>
      </c>
      <c r="X15" s="155">
        <f t="shared" si="1"/>
        <v>2042</v>
      </c>
      <c r="Y15" s="155">
        <f t="shared" si="1"/>
        <v>2043</v>
      </c>
      <c r="Z15" s="155">
        <f t="shared" si="1"/>
        <v>2044</v>
      </c>
      <c r="AA15" s="155">
        <f t="shared" si="1"/>
        <v>2045</v>
      </c>
      <c r="AB15" s="155">
        <f t="shared" si="1"/>
        <v>2046</v>
      </c>
      <c r="AC15" s="155">
        <f t="shared" si="1"/>
        <v>2047</v>
      </c>
      <c r="AD15" s="155">
        <f t="shared" si="1"/>
        <v>2048</v>
      </c>
      <c r="AE15" s="155">
        <f t="shared" si="1"/>
        <v>2049</v>
      </c>
      <c r="AF15" s="155">
        <f t="shared" si="1"/>
        <v>2050</v>
      </c>
    </row>
    <row r="16" spans="2:50" s="97" customFormat="1" ht="15" customHeight="1">
      <c r="B16" s="104" t="s">
        <v>260</v>
      </c>
      <c r="C16" s="156">
        <v>0.14594895606019295</v>
      </c>
      <c r="D16" s="156">
        <v>0.13636256314914272</v>
      </c>
      <c r="E16" s="156">
        <v>0.13080411441930184</v>
      </c>
      <c r="F16" s="156">
        <v>0.14271957781796465</v>
      </c>
      <c r="G16" s="156">
        <v>0.12070951950055164</v>
      </c>
      <c r="H16" s="156">
        <v>8.8982908679818548E-2</v>
      </c>
      <c r="I16" s="156">
        <v>7.3641387071983908E-2</v>
      </c>
      <c r="J16" s="156">
        <v>6.8095542299434375E-2</v>
      </c>
      <c r="K16" s="156">
        <v>6.3758008723220419E-2</v>
      </c>
      <c r="L16" s="156">
        <v>5.0602464755619796E-2</v>
      </c>
      <c r="M16" s="156">
        <v>4.0073648471490149E-2</v>
      </c>
      <c r="N16" s="156">
        <v>3.4636467892906767E-2</v>
      </c>
      <c r="O16" s="156">
        <v>3.0079346314835137E-2</v>
      </c>
      <c r="P16" s="156">
        <v>2.7306471183843117E-2</v>
      </c>
      <c r="Q16" s="156">
        <v>2.4359963187231357E-2</v>
      </c>
      <c r="R16" s="156">
        <v>2.0151152674820948E-2</v>
      </c>
      <c r="S16" s="156">
        <v>1.7923693200098494E-2</v>
      </c>
      <c r="T16" s="156">
        <v>1.7508069717807766E-2</v>
      </c>
      <c r="U16" s="156">
        <v>1.6577274017310833E-2</v>
      </c>
      <c r="V16" s="156">
        <v>1.5021658698556857E-2</v>
      </c>
      <c r="W16" s="156">
        <v>1.2470055748292005E-2</v>
      </c>
      <c r="X16" s="156">
        <v>1.1834272293394109E-2</v>
      </c>
      <c r="Y16" s="156">
        <v>1.159265663783959E-2</v>
      </c>
      <c r="Z16" s="156">
        <v>1.0895924975333761E-2</v>
      </c>
      <c r="AA16" s="156">
        <v>9.2531673895783276E-3</v>
      </c>
      <c r="AB16" s="156">
        <v>8.4010988937208535E-3</v>
      </c>
      <c r="AC16" s="156">
        <v>7.7461661206303239E-3</v>
      </c>
      <c r="AD16" s="156">
        <v>7.351916580840492E-3</v>
      </c>
      <c r="AE16" s="156">
        <v>6.8412596173178918E-3</v>
      </c>
      <c r="AF16" s="156">
        <v>6.7238076579303396E-3</v>
      </c>
      <c r="AL16" s="98"/>
      <c r="AM16" s="98"/>
      <c r="AN16" s="98"/>
      <c r="AO16" s="98"/>
      <c r="AP16" s="98"/>
      <c r="AQ16" s="98"/>
      <c r="AR16" s="98"/>
      <c r="AS16" s="98"/>
      <c r="AT16" s="98"/>
      <c r="AU16" s="98"/>
      <c r="AV16" s="98"/>
      <c r="AW16" s="98"/>
      <c r="AX16" s="98"/>
    </row>
    <row r="17" spans="2:57" ht="15" customHeight="1">
      <c r="B17" s="105" t="s">
        <v>261</v>
      </c>
      <c r="C17" s="157"/>
      <c r="D17" s="157"/>
      <c r="E17" s="157"/>
      <c r="F17" s="85">
        <f>C16*1000/3.6</f>
        <v>40.541376683386929</v>
      </c>
      <c r="G17" s="85">
        <f t="shared" ref="G17:AF17" si="2">D16*1000/3.6</f>
        <v>37.878489763650755</v>
      </c>
      <c r="H17" s="85">
        <f t="shared" si="2"/>
        <v>36.334476227583842</v>
      </c>
      <c r="I17" s="85">
        <f t="shared" si="2"/>
        <v>39.644327171656847</v>
      </c>
      <c r="J17" s="85">
        <f t="shared" si="2"/>
        <v>33.530422083486563</v>
      </c>
      <c r="K17" s="85">
        <f t="shared" si="2"/>
        <v>24.717474633282929</v>
      </c>
      <c r="L17" s="85">
        <f t="shared" si="2"/>
        <v>20.455940853328865</v>
      </c>
      <c r="M17" s="85">
        <f t="shared" si="2"/>
        <v>18.915428416509545</v>
      </c>
      <c r="N17" s="85">
        <f t="shared" si="2"/>
        <v>17.710557978672337</v>
      </c>
      <c r="O17" s="85">
        <f t="shared" si="2"/>
        <v>14.056240209894389</v>
      </c>
      <c r="P17" s="85">
        <f t="shared" si="2"/>
        <v>11.131569019858375</v>
      </c>
      <c r="Q17" s="85">
        <f t="shared" si="2"/>
        <v>9.6212410813629905</v>
      </c>
      <c r="R17" s="85">
        <f t="shared" si="2"/>
        <v>8.3553739763430936</v>
      </c>
      <c r="S17" s="85">
        <f t="shared" si="2"/>
        <v>7.5851308844008649</v>
      </c>
      <c r="T17" s="85">
        <f t="shared" si="2"/>
        <v>6.7666564408975995</v>
      </c>
      <c r="U17" s="85">
        <f t="shared" si="2"/>
        <v>5.597542409672486</v>
      </c>
      <c r="V17" s="85">
        <f t="shared" si="2"/>
        <v>4.9788036666940263</v>
      </c>
      <c r="W17" s="85">
        <f t="shared" si="2"/>
        <v>4.8633526993910454</v>
      </c>
      <c r="X17" s="85">
        <f t="shared" si="2"/>
        <v>4.6047983381418973</v>
      </c>
      <c r="Y17" s="85">
        <f t="shared" si="2"/>
        <v>4.1726829718213487</v>
      </c>
      <c r="Z17" s="85">
        <f t="shared" si="2"/>
        <v>3.4639043745255567</v>
      </c>
      <c r="AA17" s="85">
        <f t="shared" si="2"/>
        <v>3.2872978592761415</v>
      </c>
      <c r="AB17" s="85">
        <f t="shared" si="2"/>
        <v>3.2201823993998864</v>
      </c>
      <c r="AC17" s="85">
        <f t="shared" si="2"/>
        <v>3.0266458264816003</v>
      </c>
      <c r="AD17" s="85">
        <f t="shared" si="2"/>
        <v>2.5703242748828687</v>
      </c>
      <c r="AE17" s="85">
        <f t="shared" si="2"/>
        <v>2.3336385815891258</v>
      </c>
      <c r="AF17" s="85">
        <f t="shared" si="2"/>
        <v>2.1517128112862012</v>
      </c>
      <c r="AL17" s="60"/>
      <c r="AM17" s="60"/>
      <c r="AN17" s="60"/>
      <c r="AO17" s="60"/>
      <c r="AP17" s="60"/>
      <c r="AQ17" s="60"/>
      <c r="AR17" s="60"/>
      <c r="AS17" s="60"/>
      <c r="AT17" s="60"/>
      <c r="AU17" s="60"/>
      <c r="AV17" s="60"/>
      <c r="AW17" s="60"/>
      <c r="AX17" s="60"/>
    </row>
    <row r="18" spans="2:57" ht="15" customHeight="1">
      <c r="B18" s="33"/>
      <c r="L18" s="77"/>
      <c r="AF18" s="60"/>
      <c r="AG18" s="60"/>
      <c r="AH18" s="60"/>
      <c r="AI18" s="60"/>
      <c r="AJ18" s="60"/>
      <c r="AK18" s="60"/>
      <c r="AL18" s="60"/>
      <c r="AM18" s="60"/>
      <c r="AN18" s="60"/>
      <c r="AO18" s="60"/>
      <c r="AP18" s="60"/>
      <c r="AQ18" s="60"/>
      <c r="AR18" s="60"/>
      <c r="AS18" s="60"/>
      <c r="AT18" s="60"/>
      <c r="AU18" s="60"/>
      <c r="AV18" s="60"/>
      <c r="AW18" s="60"/>
      <c r="AX18" s="60"/>
    </row>
    <row r="19" spans="2:57" ht="15" customHeight="1">
      <c r="B19" s="82" t="s">
        <v>243</v>
      </c>
      <c r="AL19" s="61"/>
      <c r="AM19" s="60"/>
      <c r="AN19" s="61"/>
      <c r="AO19" s="60"/>
      <c r="AP19" s="61"/>
      <c r="AQ19" s="60"/>
      <c r="AR19" s="61"/>
      <c r="AS19" s="60"/>
      <c r="AT19" s="61"/>
      <c r="AU19" s="60"/>
      <c r="AV19" s="61"/>
      <c r="AW19" s="60"/>
      <c r="AX19" s="61"/>
      <c r="AY19" s="60"/>
      <c r="AZ19" s="61"/>
      <c r="BA19" s="60"/>
      <c r="BB19" s="61"/>
      <c r="BC19" s="60"/>
      <c r="BD19" s="61"/>
      <c r="BE19" s="60"/>
    </row>
    <row r="20" spans="2:57" ht="15" customHeight="1">
      <c r="B20" s="34" t="s">
        <v>212</v>
      </c>
      <c r="C20" s="60"/>
      <c r="D20" s="60"/>
      <c r="E20" s="86"/>
      <c r="F20" s="86"/>
      <c r="G20" s="86"/>
      <c r="H20" s="86"/>
      <c r="I20" s="86"/>
      <c r="J20" s="60"/>
      <c r="K20" s="60"/>
      <c r="L20" s="60"/>
      <c r="M20" s="60"/>
      <c r="N20" s="60"/>
      <c r="O20" s="60"/>
      <c r="P20" s="60"/>
      <c r="Q20" s="60"/>
      <c r="R20" s="60"/>
      <c r="S20" s="60"/>
      <c r="T20" s="60"/>
      <c r="U20" s="60"/>
      <c r="V20" s="60"/>
      <c r="W20" s="60"/>
      <c r="X20" s="60"/>
      <c r="Y20" s="60"/>
      <c r="Z20" s="60"/>
      <c r="AA20" s="60"/>
      <c r="AB20" s="61"/>
      <c r="AC20" s="60"/>
      <c r="AD20" s="61"/>
      <c r="AE20" s="60"/>
      <c r="AF20" s="61"/>
      <c r="AG20" s="60"/>
      <c r="AH20" s="61"/>
      <c r="AI20" s="60"/>
      <c r="AJ20" s="61"/>
      <c r="AK20" s="60"/>
      <c r="AL20" s="61"/>
      <c r="AM20" s="60"/>
      <c r="AN20" s="61"/>
      <c r="AO20" s="60"/>
      <c r="AP20" s="61"/>
      <c r="AQ20" s="60"/>
      <c r="AR20" s="61"/>
      <c r="AS20" s="60"/>
      <c r="AT20" s="61"/>
      <c r="AU20" s="60"/>
      <c r="AV20" s="61"/>
      <c r="AW20" s="60"/>
      <c r="AX20" s="61"/>
      <c r="AY20" s="60"/>
      <c r="AZ20" s="61"/>
      <c r="BA20" s="60"/>
      <c r="BB20" s="61"/>
      <c r="BC20" s="60"/>
      <c r="BD20" s="61"/>
      <c r="BE20" s="60"/>
    </row>
    <row r="21" spans="2:57" ht="15" customHeight="1">
      <c r="B21" s="82" t="s">
        <v>255</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1"/>
      <c r="AC21" s="60"/>
      <c r="AD21" s="61"/>
      <c r="AE21" s="60"/>
      <c r="AF21" s="61"/>
      <c r="AG21" s="60"/>
      <c r="AH21" s="61"/>
      <c r="AI21" s="60"/>
      <c r="AJ21" s="61"/>
      <c r="AK21" s="60"/>
      <c r="AL21" s="61"/>
      <c r="AM21" s="60"/>
      <c r="AN21" s="61"/>
      <c r="AO21" s="60"/>
      <c r="AP21" s="61"/>
      <c r="AQ21" s="60"/>
      <c r="AR21" s="61"/>
      <c r="AS21" s="60"/>
      <c r="AT21" s="61"/>
      <c r="AU21" s="60"/>
      <c r="AV21" s="61"/>
      <c r="AW21" s="60"/>
      <c r="AX21" s="61"/>
      <c r="AY21" s="60"/>
      <c r="AZ21" s="61"/>
      <c r="BA21" s="60"/>
      <c r="BB21" s="61"/>
      <c r="BC21" s="60"/>
      <c r="BD21" s="61"/>
      <c r="BE21" s="60"/>
    </row>
    <row r="22" spans="2:57" ht="15" customHeight="1">
      <c r="B22" s="82" t="s">
        <v>256</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0"/>
      <c r="AD22" s="61"/>
      <c r="AE22" s="60"/>
      <c r="AF22" s="61"/>
      <c r="AG22" s="60"/>
      <c r="AH22" s="61"/>
      <c r="AI22" s="60"/>
      <c r="AJ22" s="61"/>
      <c r="AK22" s="60"/>
      <c r="AL22" s="61"/>
      <c r="AM22" s="60"/>
      <c r="AN22" s="61"/>
      <c r="AO22" s="60"/>
      <c r="AP22" s="61"/>
      <c r="AQ22" s="60"/>
      <c r="AR22" s="61"/>
      <c r="AS22" s="60"/>
      <c r="AT22" s="61"/>
      <c r="AU22" s="60"/>
      <c r="AV22" s="61"/>
      <c r="AW22" s="60"/>
      <c r="AX22" s="61"/>
      <c r="AY22" s="60"/>
      <c r="AZ22" s="61"/>
      <c r="BA22" s="60"/>
      <c r="BB22" s="61"/>
      <c r="BC22" s="60"/>
      <c r="BD22" s="61"/>
      <c r="BE22" s="60"/>
    </row>
    <row r="23" spans="2:57" ht="15" customHeight="1">
      <c r="B23" s="159" t="s">
        <v>245</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1"/>
      <c r="AC23" s="60"/>
      <c r="AD23" s="61"/>
      <c r="AE23" s="60"/>
      <c r="AF23" s="61"/>
      <c r="AG23" s="60"/>
      <c r="AH23" s="61"/>
      <c r="AI23" s="60"/>
      <c r="AJ23" s="61"/>
      <c r="AK23" s="60"/>
      <c r="AL23" s="61"/>
      <c r="AM23" s="60"/>
      <c r="AN23" s="61"/>
      <c r="AO23" s="60"/>
      <c r="AP23" s="61"/>
      <c r="AQ23" s="60"/>
      <c r="AR23" s="61"/>
      <c r="AS23" s="60"/>
      <c r="AT23" s="61"/>
      <c r="AU23" s="60"/>
      <c r="AV23" s="61"/>
      <c r="AW23" s="60"/>
      <c r="AX23" s="61"/>
      <c r="AY23" s="60"/>
      <c r="AZ23" s="61"/>
      <c r="BA23" s="60"/>
      <c r="BB23" s="61"/>
      <c r="BC23" s="60"/>
      <c r="BD23" s="61"/>
      <c r="BE23" s="60"/>
    </row>
    <row r="24" spans="2:57" ht="15" customHeight="1">
      <c r="B24" s="87"/>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1"/>
      <c r="AC24" s="60"/>
      <c r="AD24" s="61"/>
      <c r="AE24" s="60"/>
      <c r="AF24" s="61"/>
      <c r="AG24" s="60"/>
      <c r="AH24" s="61"/>
      <c r="AI24" s="60"/>
      <c r="AJ24" s="61"/>
      <c r="AK24" s="60"/>
      <c r="AL24" s="61"/>
      <c r="AM24" s="60"/>
      <c r="AN24" s="61"/>
      <c r="AO24" s="60"/>
      <c r="AP24" s="61"/>
      <c r="AQ24" s="60"/>
      <c r="AR24" s="61"/>
      <c r="AS24" s="60"/>
      <c r="AT24" s="61"/>
      <c r="AU24" s="60"/>
      <c r="AV24" s="61"/>
      <c r="AW24" s="60"/>
      <c r="AX24" s="61"/>
      <c r="AY24" s="60"/>
      <c r="AZ24" s="61"/>
      <c r="BA24" s="60"/>
      <c r="BB24" s="61"/>
      <c r="BC24" s="60"/>
      <c r="BD24" s="61"/>
      <c r="BE24" s="60"/>
    </row>
    <row r="25" spans="2:57" ht="15" customHeight="1">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1"/>
      <c r="AC25" s="60"/>
      <c r="AD25" s="61"/>
      <c r="AE25" s="60"/>
      <c r="AF25" s="61"/>
      <c r="AG25" s="60"/>
      <c r="AH25" s="61"/>
      <c r="AI25" s="60"/>
      <c r="AJ25" s="61"/>
      <c r="AK25" s="60"/>
      <c r="AL25" s="61"/>
      <c r="AM25" s="60"/>
      <c r="AN25" s="61"/>
      <c r="AO25" s="60"/>
      <c r="AP25" s="61"/>
      <c r="AQ25" s="60"/>
      <c r="AR25" s="61"/>
      <c r="AS25" s="60"/>
      <c r="AT25" s="61"/>
      <c r="AU25" s="60"/>
      <c r="AV25" s="61"/>
      <c r="AW25" s="60"/>
      <c r="AX25" s="61"/>
      <c r="AY25" s="60"/>
      <c r="AZ25" s="61"/>
      <c r="BA25" s="60"/>
      <c r="BB25" s="61"/>
      <c r="BC25" s="60"/>
      <c r="BD25" s="61"/>
      <c r="BE25" s="60"/>
    </row>
    <row r="26" spans="2:57" s="80" customFormat="1" ht="15" customHeight="1">
      <c r="B26" s="162" t="s">
        <v>150</v>
      </c>
      <c r="C26" s="162" t="s">
        <v>141</v>
      </c>
      <c r="E26" s="162"/>
      <c r="F26" s="162"/>
      <c r="G26" s="163"/>
      <c r="H26" s="163"/>
      <c r="I26" s="163"/>
      <c r="J26" s="163"/>
      <c r="K26" s="163"/>
      <c r="L26" s="163"/>
      <c r="M26" s="163"/>
      <c r="N26" s="163"/>
      <c r="O26" s="163"/>
      <c r="P26" s="163"/>
      <c r="Q26" s="163"/>
      <c r="R26" s="163"/>
      <c r="S26" s="163"/>
      <c r="T26" s="163"/>
      <c r="U26" s="163"/>
      <c r="V26" s="163"/>
      <c r="W26" s="163"/>
      <c r="X26" s="163"/>
      <c r="Y26" s="163"/>
      <c r="Z26" s="163"/>
      <c r="AA26" s="163"/>
      <c r="AB26" s="164"/>
      <c r="AC26" s="163"/>
      <c r="AD26" s="164"/>
      <c r="AE26" s="163"/>
      <c r="AF26" s="164"/>
      <c r="AG26" s="163"/>
      <c r="AH26" s="164"/>
      <c r="AI26" s="163"/>
      <c r="AJ26" s="164"/>
      <c r="AK26" s="163"/>
      <c r="AL26" s="164"/>
      <c r="AM26" s="163"/>
      <c r="AN26" s="164"/>
      <c r="AO26" s="163"/>
      <c r="AP26" s="164"/>
      <c r="AQ26" s="163"/>
      <c r="AR26" s="164"/>
      <c r="AS26" s="163"/>
      <c r="AT26" s="164"/>
      <c r="AU26" s="163"/>
      <c r="AV26" s="164"/>
      <c r="AW26" s="163"/>
      <c r="AX26" s="164"/>
      <c r="AY26" s="163"/>
      <c r="AZ26" s="164"/>
      <c r="BA26" s="163"/>
      <c r="BB26" s="164"/>
      <c r="BC26" s="163"/>
      <c r="BD26" s="164"/>
      <c r="BE26" s="163"/>
    </row>
    <row r="27" spans="2:57" ht="15" customHeight="1">
      <c r="B27" s="63"/>
      <c r="C27" s="63"/>
      <c r="D27" s="63"/>
      <c r="E27" s="63"/>
      <c r="F27" s="63"/>
      <c r="G27" s="60"/>
      <c r="H27" s="60"/>
      <c r="I27" s="60"/>
      <c r="J27" s="60"/>
      <c r="K27" s="60"/>
      <c r="L27" s="60"/>
      <c r="M27" s="60"/>
      <c r="N27" s="60"/>
      <c r="O27" s="60"/>
      <c r="P27" s="60"/>
      <c r="Q27" s="60"/>
      <c r="R27" s="60"/>
      <c r="S27" s="60"/>
      <c r="T27" s="60"/>
      <c r="U27" s="60"/>
      <c r="V27" s="60"/>
      <c r="W27" s="60"/>
      <c r="X27" s="60"/>
      <c r="Y27" s="60"/>
      <c r="Z27" s="60"/>
      <c r="AA27" s="60"/>
      <c r="AB27" s="61"/>
      <c r="AC27" s="60"/>
      <c r="AD27" s="61"/>
      <c r="AE27" s="60"/>
      <c r="AF27" s="61"/>
      <c r="AG27" s="60"/>
      <c r="AH27" s="61"/>
      <c r="AI27" s="60"/>
      <c r="AJ27" s="61"/>
      <c r="AK27" s="60"/>
      <c r="AL27" s="61"/>
      <c r="AM27" s="60"/>
      <c r="AN27" s="61"/>
      <c r="AO27" s="60"/>
      <c r="AP27" s="61"/>
      <c r="AQ27" s="60"/>
      <c r="AR27" s="61"/>
      <c r="AS27" s="60"/>
      <c r="AT27" s="61"/>
      <c r="AU27" s="60"/>
      <c r="AV27" s="61"/>
      <c r="AW27" s="60"/>
      <c r="AX27" s="61"/>
      <c r="AY27" s="60"/>
      <c r="AZ27" s="61"/>
      <c r="BA27" s="60"/>
      <c r="BB27" s="61"/>
      <c r="BC27" s="60"/>
      <c r="BD27" s="61"/>
      <c r="BE27" s="60"/>
    </row>
    <row r="28" spans="2:57" ht="15" customHeight="1">
      <c r="B28" s="63" t="s">
        <v>151</v>
      </c>
      <c r="C28" s="34" t="s">
        <v>200</v>
      </c>
    </row>
    <row r="29" spans="2:57" ht="15" customHeight="1">
      <c r="B29" s="1" t="s">
        <v>152</v>
      </c>
      <c r="C29" s="34" t="s">
        <v>153</v>
      </c>
    </row>
    <row r="30" spans="2:57" ht="15" customHeight="1">
      <c r="B30" s="1" t="s">
        <v>154</v>
      </c>
      <c r="C30" s="34" t="s">
        <v>155</v>
      </c>
    </row>
    <row r="31" spans="2:57" ht="15" customHeight="1">
      <c r="B31" s="1" t="s">
        <v>233</v>
      </c>
      <c r="C31" s="34" t="s">
        <v>234</v>
      </c>
    </row>
    <row r="32" spans="2:57" ht="15" customHeight="1">
      <c r="B32" s="1" t="s">
        <v>203</v>
      </c>
      <c r="C32" s="34" t="s">
        <v>204</v>
      </c>
    </row>
    <row r="33" spans="2:6" ht="15" customHeight="1">
      <c r="B33" s="62"/>
      <c r="C33" s="62"/>
    </row>
    <row r="34" spans="2:6" ht="15" customHeight="1">
      <c r="B34" s="64" t="s">
        <v>207</v>
      </c>
      <c r="C34" s="34" t="s">
        <v>206</v>
      </c>
    </row>
    <row r="35" spans="2:6" ht="15" customHeight="1">
      <c r="B35" s="63" t="s">
        <v>374</v>
      </c>
      <c r="C35" s="34" t="s">
        <v>373</v>
      </c>
    </row>
    <row r="36" spans="2:6" ht="15" customHeight="1">
      <c r="B36" s="63" t="s">
        <v>221</v>
      </c>
      <c r="C36" s="34" t="s">
        <v>222</v>
      </c>
    </row>
    <row r="37" spans="2:6" ht="15" customHeight="1">
      <c r="C37" s="34"/>
    </row>
    <row r="38" spans="2:6" ht="15" customHeight="1">
      <c r="B38" s="63" t="s">
        <v>213</v>
      </c>
      <c r="C38" s="75" t="s">
        <v>214</v>
      </c>
    </row>
    <row r="39" spans="2:6" ht="15" customHeight="1">
      <c r="B39" s="63" t="s">
        <v>215</v>
      </c>
      <c r="C39" s="75" t="s">
        <v>216</v>
      </c>
    </row>
    <row r="40" spans="2:6" ht="15" customHeight="1">
      <c r="B40" s="63" t="s">
        <v>217</v>
      </c>
      <c r="C40" s="75" t="s">
        <v>218</v>
      </c>
    </row>
    <row r="41" spans="2:6" ht="15" customHeight="1">
      <c r="B41" s="63" t="s">
        <v>219</v>
      </c>
      <c r="C41" s="75" t="s">
        <v>220</v>
      </c>
    </row>
    <row r="42" spans="2:6" ht="15" customHeight="1">
      <c r="C42" s="34"/>
    </row>
    <row r="43" spans="2:6" ht="15" customHeight="1">
      <c r="B43" s="76" t="s">
        <v>227</v>
      </c>
      <c r="C43" s="34"/>
    </row>
    <row r="44" spans="2:6" ht="15" customHeight="1">
      <c r="B44" s="1" t="s">
        <v>156</v>
      </c>
      <c r="C44" s="75" t="s">
        <v>223</v>
      </c>
    </row>
    <row r="45" spans="2:6" ht="15" customHeight="1">
      <c r="B45" s="63" t="s">
        <v>157</v>
      </c>
      <c r="C45" s="34" t="s">
        <v>158</v>
      </c>
    </row>
    <row r="46" spans="2:6" ht="15" customHeight="1">
      <c r="B46" s="63" t="s">
        <v>229</v>
      </c>
      <c r="C46" s="34" t="s">
        <v>201</v>
      </c>
    </row>
    <row r="47" spans="2:6" ht="15" customHeight="1">
      <c r="B47" s="72" t="s">
        <v>230</v>
      </c>
      <c r="C47" s="73" t="s">
        <v>202</v>
      </c>
      <c r="E47" s="63"/>
      <c r="F47" s="63"/>
    </row>
    <row r="48" spans="2:6" ht="15" customHeight="1">
      <c r="B48" s="63"/>
      <c r="C48" s="34"/>
    </row>
    <row r="49" spans="2:3" ht="15" customHeight="1">
      <c r="B49" s="64" t="s">
        <v>159</v>
      </c>
      <c r="C49" s="34" t="s">
        <v>160</v>
      </c>
    </row>
    <row r="50" spans="2:3" ht="15" customHeight="1">
      <c r="B50" s="64" t="s">
        <v>161</v>
      </c>
      <c r="C50" s="34" t="s">
        <v>162</v>
      </c>
    </row>
    <row r="51" spans="2:3" ht="15" customHeight="1">
      <c r="B51" s="64" t="s">
        <v>198</v>
      </c>
      <c r="C51" s="34" t="s">
        <v>197</v>
      </c>
    </row>
    <row r="52" spans="2:3" ht="15" customHeight="1">
      <c r="B52" s="64" t="s">
        <v>224</v>
      </c>
      <c r="C52" s="34" t="s">
        <v>225</v>
      </c>
    </row>
    <row r="53" spans="2:3" ht="15" customHeight="1">
      <c r="B53" s="64" t="s">
        <v>226</v>
      </c>
      <c r="C53" s="34" t="s">
        <v>163</v>
      </c>
    </row>
    <row r="54" spans="2:3" ht="15" customHeight="1">
      <c r="B54" s="64"/>
      <c r="C54" s="34"/>
    </row>
    <row r="55" spans="2:3" ht="15" customHeight="1">
      <c r="B55" s="1" t="s">
        <v>164</v>
      </c>
      <c r="C55" s="34" t="s">
        <v>199</v>
      </c>
    </row>
    <row r="56" spans="2:3" ht="15" customHeight="1">
      <c r="B56" s="1" t="s">
        <v>228</v>
      </c>
      <c r="C56" s="34" t="s">
        <v>205</v>
      </c>
    </row>
  </sheetData>
  <hyperlinks>
    <hyperlink ref="C47" r:id="rId1" xr:uid="{0F38376D-DA6F-49D7-BEEA-F5C5D19911ED}"/>
    <hyperlink ref="C32" r:id="rId2" display="https://eur01.safelinks.protection.outlook.com/?url=https%3A%2F%2Fwww.gov.uk%2Fgovernment%2Fconsultations%2Fmandating-the-use-of-sustainable-aviation-fuels-in-the-uk&amp;data=05%7C01%7Cvon.chua%40e4tech.com%7C6c43196d55c247d8ecda08da220ab27e%7Cf2fe6bd39c4a485bae69e18820a88130%7C0%7C0%7C637859726588645422%7CUnknown%7CTWFpbGZsb3d8eyJWIjoiMC4wLjAwMDAiLCJQIjoiV2luMzIiLCJBTiI6Ik1haWwiLCJXVCI6Mn0%3D%7C3000%7C%7C%7C&amp;sdata=vCiuqnQraswMIkigCyDkIw1DyRuWEp1Bg4F9uCMDCSI%3D&amp;reserved=0" xr:uid="{9FC1A851-12A0-4DDD-A836-B812CE723AC2}"/>
    <hyperlink ref="C56" r:id="rId3" display="https://eur01.safelinks.protection.outlook.com/?url=https%3A%2F%2Fiea.blob.core.windows.net%2Fassets%2Fdeebef5d-0c34-4539-9d0c-10b13d840027%2FNetZeroby2050-ARoadmapfortheGlobalEnergySector_CORR.pdf&amp;data=05%7C01%7Cvon.chua%40e4tech.com%7C6c43196d55c247d8ecda08da220ab27e%7Cf2fe6bd39c4a485bae69e18820a88130%7C0%7C0%7C637859726588645422%7CUnknown%7CTWFpbGZsb3d8eyJWIjoiMC4wLjAwMDAiLCJQIjoiV2luMzIiLCJBTiI6Ik1haWwiLCJXVCI6Mn0%3D%7C3000%7C%7C%7C&amp;sdata=rpG8wo6ixFZnPOqx8GTUyk7%2BxgrmPnJFOmN9oPewMQs%3D&amp;reserved=0" xr:uid="{FDE91EE5-32FD-45E1-A964-A767B58A1364}"/>
    <hyperlink ref="B20" r:id="rId4" xr:uid="{23E409EE-AB3D-4183-900C-CBD2650E5FAF}"/>
    <hyperlink ref="C49" r:id="rId5" xr:uid="{AAB3F1DA-BA2E-436A-86A3-C4807075174D}"/>
    <hyperlink ref="C45" r:id="rId6" xr:uid="{CF3B6213-A62A-4F5C-AA09-A0806E0135CB}"/>
    <hyperlink ref="C44" r:id="rId7" xr:uid="{DDD76624-81C1-4B12-BBFD-A55A48012C92}"/>
    <hyperlink ref="C30" r:id="rId8" xr:uid="{CC30524A-404D-44B1-B12B-EFCA40BD07B8}"/>
    <hyperlink ref="C29" r:id="rId9" xr:uid="{8E47874F-75FD-4DAC-B9AA-14113F67FF3D}"/>
    <hyperlink ref="C51" r:id="rId10" xr:uid="{902A11EB-EB3C-4775-8FD9-99687ECB412E}"/>
    <hyperlink ref="C55" r:id="rId11" xr:uid="{02116EC2-CC3D-4493-81FA-CB928C6D7F4C}"/>
    <hyperlink ref="C36" r:id="rId12" xr:uid="{36AB4C64-03B2-4833-AB8E-65997256A0F6}"/>
    <hyperlink ref="C40" r:id="rId13" xr:uid="{F13AB89F-1314-41EF-B6F5-13D1E810067E}"/>
    <hyperlink ref="C41" r:id="rId14" xr:uid="{E4CFEA3D-6BCD-41A1-BF57-06788D107258}"/>
    <hyperlink ref="C38" r:id="rId15" xr:uid="{828AC014-BE73-4338-B404-147D5EC1DB11}"/>
    <hyperlink ref="C39" r:id="rId16" xr:uid="{951C1DEE-81C2-47E1-B74C-75A952DE961B}"/>
    <hyperlink ref="C28" r:id="rId17" xr:uid="{99EBC38E-DABD-4EBE-9975-93E3317F6D25}"/>
  </hyperlinks>
  <pageMargins left="0.7" right="0.7" top="0.75" bottom="0.75" header="0.3" footer="0.3"/>
  <pageSetup orientation="portrait" r:id="rId18"/>
  <extLst>
    <ext xmlns:x14="http://schemas.microsoft.com/office/spreadsheetml/2009/9/main" uri="{78C0D931-6437-407d-A8EE-F0AAD7539E65}">
      <x14:conditionalFormattings>
        <x14:conditionalFormatting xmlns:xm="http://schemas.microsoft.com/office/excel/2006/main">
          <x14:cfRule type="expression" priority="4" id="{E343C74A-A7AE-4BF4-A82A-59C5469607BA}">
            <xm:f>F$15=Guidance!$D$17</xm:f>
            <x14:dxf>
              <fill>
                <patternFill>
                  <bgColor rgb="FFFFC000"/>
                </patternFill>
              </fill>
            </x14:dxf>
          </x14:cfRule>
          <xm:sqref>F17:AF17 F15:AF15 F4:T8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L30"/>
  <sheetViews>
    <sheetView showGridLines="0" zoomScaleNormal="100" workbookViewId="0"/>
  </sheetViews>
  <sheetFormatPr defaultRowHeight="14.4"/>
  <cols>
    <col min="1" max="1" width="6.6640625" customWidth="1"/>
    <col min="2" max="2" width="31.33203125" customWidth="1"/>
    <col min="3" max="3" width="12.44140625" style="1" customWidth="1"/>
    <col min="4" max="4" width="17.88671875" customWidth="1"/>
    <col min="5" max="5" width="21.21875" customWidth="1"/>
    <col min="6" max="6" width="25.88671875" customWidth="1"/>
    <col min="7" max="7" width="21.21875" style="1" customWidth="1"/>
    <col min="8" max="9" width="17.5546875" customWidth="1"/>
    <col min="10" max="10" width="20.33203125" customWidth="1"/>
    <col min="11" max="11" width="3.88671875" customWidth="1"/>
    <col min="12" max="18" width="10.6640625" customWidth="1"/>
  </cols>
  <sheetData>
    <row r="1" spans="1:12" s="1" customFormat="1"/>
    <row r="2" spans="1:12" ht="60">
      <c r="B2" s="59" t="s">
        <v>379</v>
      </c>
      <c r="C2" s="59" t="s">
        <v>380</v>
      </c>
      <c r="D2" s="59" t="s">
        <v>385</v>
      </c>
      <c r="E2" s="59" t="s">
        <v>384</v>
      </c>
      <c r="F2" s="59" t="s">
        <v>383</v>
      </c>
      <c r="G2" s="59" t="s">
        <v>382</v>
      </c>
      <c r="H2" s="59" t="s">
        <v>165</v>
      </c>
      <c r="I2" s="59" t="s">
        <v>166</v>
      </c>
      <c r="J2" s="59" t="s">
        <v>381</v>
      </c>
      <c r="K2" s="1"/>
    </row>
    <row r="3" spans="1:12" s="1" customFormat="1">
      <c r="B3" s="57" t="str">
        <f>IF(Guidance!D20="RCF", "RCF feedstock counterfactual", "Not used")</f>
        <v>Not used</v>
      </c>
      <c r="C3" s="57" t="str">
        <f>IF(Guidance!$D$20="RCF","Yes", "No")</f>
        <v>No</v>
      </c>
      <c r="D3" s="191" t="s">
        <v>181</v>
      </c>
      <c r="E3" s="83" t="s">
        <v>181</v>
      </c>
      <c r="F3" s="95" t="s">
        <v>181</v>
      </c>
      <c r="G3" s="95" t="str">
        <f>IF(Guidance!D20="RCF",'RCF counterfactual'!C17, "NA")</f>
        <v>NA</v>
      </c>
      <c r="H3" s="96" t="s">
        <v>181</v>
      </c>
      <c r="I3" s="96" t="str">
        <f>IF(Guidance!D20="RCF",I4,"NA")</f>
        <v>NA</v>
      </c>
      <c r="J3" s="85" t="str">
        <f>IF(C3="No", "", G3*I3)</f>
        <v/>
      </c>
    </row>
    <row r="4" spans="1:12">
      <c r="B4" s="57" t="s">
        <v>12</v>
      </c>
      <c r="C4" s="57"/>
      <c r="D4" s="96" t="str">
        <f>IF(C4="No", 100%, 'Feedstock collection'!N17)</f>
        <v/>
      </c>
      <c r="E4" s="83" t="e">
        <f>E5/D5</f>
        <v>#VALUE!</v>
      </c>
      <c r="F4" s="95">
        <f>IF(C4="No", 0, 'Feedstock collection'!S35)</f>
        <v>0</v>
      </c>
      <c r="G4" s="95" t="e">
        <f t="shared" ref="G4:G7" si="0">F4*E4</f>
        <v>#VALUE!</v>
      </c>
      <c r="H4" s="96" t="str">
        <f>IF(C4="No", 100%,'Feedstock collection'!O17)</f>
        <v/>
      </c>
      <c r="I4" s="96" t="e">
        <f t="shared" ref="I4:I7" si="1">I5*H4</f>
        <v>#VALUE!</v>
      </c>
      <c r="J4" s="85" t="e">
        <f>IF(C4="No", "", G4*I4)</f>
        <v>#VALUE!</v>
      </c>
      <c r="K4" s="1"/>
    </row>
    <row r="5" spans="1:12">
      <c r="B5" s="57" t="s">
        <v>13</v>
      </c>
      <c r="C5" s="57"/>
      <c r="D5" s="96" t="str">
        <f>IF(C5="No", 100%, 'Feedstock transport'!N17)</f>
        <v/>
      </c>
      <c r="E5" s="83" t="e">
        <f t="shared" ref="E5:E7" si="2">E6/D6</f>
        <v>#VALUE!</v>
      </c>
      <c r="F5" s="95">
        <f>IF(C5="No", 0, 'Feedstock transport'!S35)</f>
        <v>0</v>
      </c>
      <c r="G5" s="95" t="e">
        <f t="shared" si="0"/>
        <v>#VALUE!</v>
      </c>
      <c r="H5" s="96" t="str">
        <f>IF(C5="No", 100%,'Feedstock transport'!O17)</f>
        <v/>
      </c>
      <c r="I5" s="96" t="e">
        <f t="shared" si="1"/>
        <v>#VALUE!</v>
      </c>
      <c r="J5" s="85" t="e">
        <f t="shared" ref="J5:J14" si="3">IF(C5="No", "", G5*I5)</f>
        <v>#VALUE!</v>
      </c>
      <c r="K5" s="1"/>
    </row>
    <row r="6" spans="1:12">
      <c r="B6" s="57" t="s">
        <v>14</v>
      </c>
      <c r="C6" s="57"/>
      <c r="D6" s="96" t="str">
        <f>IF(C6="No", 100%, 'Pre-processing'!N17)</f>
        <v/>
      </c>
      <c r="E6" s="83" t="e">
        <f t="shared" si="2"/>
        <v>#VALUE!</v>
      </c>
      <c r="F6" s="95">
        <f>IF(C6="No", 0, 'Pre-processing'!S35)</f>
        <v>0</v>
      </c>
      <c r="G6" s="95" t="e">
        <f t="shared" si="0"/>
        <v>#VALUE!</v>
      </c>
      <c r="H6" s="96" t="str">
        <f>IF(C6="No", 100%,'Pre-processing'!O17)</f>
        <v/>
      </c>
      <c r="I6" s="96" t="e">
        <f t="shared" si="1"/>
        <v>#VALUE!</v>
      </c>
      <c r="J6" s="85" t="e">
        <f t="shared" si="3"/>
        <v>#VALUE!</v>
      </c>
      <c r="K6" s="1"/>
    </row>
    <row r="7" spans="1:12">
      <c r="B7" s="57" t="s">
        <v>15</v>
      </c>
      <c r="C7" s="57"/>
      <c r="D7" s="96" t="str">
        <f>IF(C7="No", 100%, 'Intermediate transport'!N17)</f>
        <v/>
      </c>
      <c r="E7" s="83" t="e">
        <f t="shared" si="2"/>
        <v>#VALUE!</v>
      </c>
      <c r="F7" s="95">
        <f>IF(C7="No", 0, 'Intermediate transport'!S35)</f>
        <v>0</v>
      </c>
      <c r="G7" s="95" t="e">
        <f t="shared" si="0"/>
        <v>#VALUE!</v>
      </c>
      <c r="H7" s="96" t="str">
        <f>IF(C7="No", 100%,'Intermediate transport'!O17)</f>
        <v/>
      </c>
      <c r="I7" s="96" t="e">
        <f t="shared" si="1"/>
        <v>#VALUE!</v>
      </c>
      <c r="J7" s="85" t="e">
        <f t="shared" si="3"/>
        <v>#VALUE!</v>
      </c>
      <c r="K7" s="1"/>
    </row>
    <row r="8" spans="1:12">
      <c r="B8" s="57" t="s">
        <v>16</v>
      </c>
      <c r="C8" s="57" t="s">
        <v>178</v>
      </c>
      <c r="D8" s="96" t="str">
        <f>IF(C8="No", 100%, Conversion!N17)</f>
        <v/>
      </c>
      <c r="E8" s="83" t="e">
        <f t="shared" ref="E8:E13" si="4">E9/D9</f>
        <v>#VALUE!</v>
      </c>
      <c r="F8" s="95">
        <f>IF(C8="No", 0, Conversion!S35)</f>
        <v>0</v>
      </c>
      <c r="G8" s="95" t="e">
        <f>F8*E8</f>
        <v>#VALUE!</v>
      </c>
      <c r="H8" s="96" t="str">
        <f>IF(C8="No", 100%,Conversion!O17)</f>
        <v/>
      </c>
      <c r="I8" s="96" t="e">
        <f t="shared" ref="I8:I13" si="5">I9*H8</f>
        <v>#VALUE!</v>
      </c>
      <c r="J8" s="85" t="e">
        <f t="shared" si="3"/>
        <v>#VALUE!</v>
      </c>
      <c r="K8" s="1"/>
    </row>
    <row r="9" spans="1:12">
      <c r="B9" s="57" t="s">
        <v>17</v>
      </c>
      <c r="C9" s="57"/>
      <c r="D9" s="96" t="str">
        <f>IF(C9="No", 100%, 'Further transport'!N17)</f>
        <v/>
      </c>
      <c r="E9" s="83" t="e">
        <f t="shared" si="4"/>
        <v>#VALUE!</v>
      </c>
      <c r="F9" s="95">
        <f>IF(C9="No", 0, 'Further transport'!S35)</f>
        <v>0</v>
      </c>
      <c r="G9" s="95" t="e">
        <f t="shared" ref="G9:G14" si="6">F9*E9</f>
        <v>#VALUE!</v>
      </c>
      <c r="H9" s="96" t="str">
        <f>IF(C9="No", 100%,'Further transport'!O17)</f>
        <v/>
      </c>
      <c r="I9" s="96" t="e">
        <f t="shared" si="5"/>
        <v>#VALUE!</v>
      </c>
      <c r="J9" s="85" t="e">
        <f t="shared" si="3"/>
        <v>#VALUE!</v>
      </c>
      <c r="K9" s="1"/>
    </row>
    <row r="10" spans="1:12">
      <c r="B10" s="57" t="s">
        <v>18</v>
      </c>
      <c r="C10" s="57"/>
      <c r="D10" s="96" t="str">
        <f>IF(C10="No", 100%, Upgrading!N17)</f>
        <v/>
      </c>
      <c r="E10" s="83" t="e">
        <f t="shared" si="4"/>
        <v>#VALUE!</v>
      </c>
      <c r="F10" s="95">
        <f>IF(C10="No", 0, Upgrading!S35)</f>
        <v>0</v>
      </c>
      <c r="G10" s="95" t="e">
        <f t="shared" si="6"/>
        <v>#VALUE!</v>
      </c>
      <c r="H10" s="96" t="str">
        <f>IF(C10="No", 100%,Upgrading!O17)</f>
        <v/>
      </c>
      <c r="I10" s="96" t="e">
        <f t="shared" si="5"/>
        <v>#VALUE!</v>
      </c>
      <c r="J10" s="85" t="e">
        <f t="shared" si="3"/>
        <v>#VALUE!</v>
      </c>
      <c r="K10" s="1"/>
    </row>
    <row r="11" spans="1:12">
      <c r="B11" s="57" t="s">
        <v>19</v>
      </c>
      <c r="C11" s="57"/>
      <c r="D11" s="96" t="str">
        <f>IF(C11="No", 100%, 'Fuel distribution 1'!N17)</f>
        <v/>
      </c>
      <c r="E11" s="83" t="e">
        <f t="shared" si="4"/>
        <v>#VALUE!</v>
      </c>
      <c r="F11" s="95">
        <f>IF(C11="No", 0, 'Fuel distribution 1'!S35)</f>
        <v>0</v>
      </c>
      <c r="G11" s="95" t="e">
        <f t="shared" si="6"/>
        <v>#VALUE!</v>
      </c>
      <c r="H11" s="96" t="str">
        <f>IF(C11="No", 100%,'Fuel distribution 1'!O17)</f>
        <v/>
      </c>
      <c r="I11" s="96" t="e">
        <f t="shared" si="5"/>
        <v>#VALUE!</v>
      </c>
      <c r="J11" s="85" t="e">
        <f t="shared" si="3"/>
        <v>#VALUE!</v>
      </c>
      <c r="K11" s="1"/>
    </row>
    <row r="12" spans="1:12">
      <c r="B12" s="57" t="s">
        <v>20</v>
      </c>
      <c r="C12" s="57"/>
      <c r="D12" s="96" t="str">
        <f>IF(C12="No", 100%, 'Fuel storage'!N17)</f>
        <v/>
      </c>
      <c r="E12" s="83" t="e">
        <f t="shared" si="4"/>
        <v>#VALUE!</v>
      </c>
      <c r="F12" s="95">
        <f>IF(C12="No", 0, 'Fuel storage'!S35)</f>
        <v>0</v>
      </c>
      <c r="G12" s="95" t="e">
        <f t="shared" si="6"/>
        <v>#VALUE!</v>
      </c>
      <c r="H12" s="96" t="str">
        <f>IF(C12="No", 100%,'Fuel storage'!O17)</f>
        <v/>
      </c>
      <c r="I12" s="96" t="e">
        <f t="shared" si="5"/>
        <v>#VALUE!</v>
      </c>
      <c r="J12" s="85" t="e">
        <f t="shared" si="3"/>
        <v>#VALUE!</v>
      </c>
      <c r="K12" s="1"/>
    </row>
    <row r="13" spans="1:12">
      <c r="B13" s="57" t="s">
        <v>21</v>
      </c>
      <c r="C13" s="57"/>
      <c r="D13" s="96" t="str">
        <f>IF(C13="No", 100%, 'Fuel distribution 2'!N17)</f>
        <v/>
      </c>
      <c r="E13" s="83" t="e">
        <f t="shared" si="4"/>
        <v>#VALUE!</v>
      </c>
      <c r="F13" s="95">
        <f>IF(C13="No", 0, 'Fuel distribution 2'!S35)</f>
        <v>0</v>
      </c>
      <c r="G13" s="95" t="e">
        <f t="shared" si="6"/>
        <v>#VALUE!</v>
      </c>
      <c r="H13" s="96" t="str">
        <f>IF(C13="No", 100%,'Fuel distribution 2'!O17)</f>
        <v/>
      </c>
      <c r="I13" s="96" t="e">
        <f t="shared" si="5"/>
        <v>#VALUE!</v>
      </c>
      <c r="J13" s="85" t="e">
        <f t="shared" si="3"/>
        <v>#VALUE!</v>
      </c>
      <c r="K13" s="1"/>
    </row>
    <row r="14" spans="1:12" ht="15" thickBot="1">
      <c r="B14" s="68" t="s">
        <v>232</v>
      </c>
      <c r="C14" s="68" t="s">
        <v>178</v>
      </c>
      <c r="D14" s="96" t="str">
        <f>IF(C14="No", 100%, Refuelling!N17)</f>
        <v/>
      </c>
      <c r="E14" s="83">
        <v>1</v>
      </c>
      <c r="F14" s="95">
        <f>IF(C14="No", 0, Refuelling!S35)</f>
        <v>0</v>
      </c>
      <c r="G14" s="95">
        <f t="shared" si="6"/>
        <v>0</v>
      </c>
      <c r="H14" s="96" t="str">
        <f>IF(C14="No", 100%,Refuelling!O17)</f>
        <v/>
      </c>
      <c r="I14" s="96" t="str">
        <f>H14</f>
        <v/>
      </c>
      <c r="J14" s="85" t="e">
        <f t="shared" si="3"/>
        <v>#VALUE!</v>
      </c>
      <c r="K14" s="1"/>
    </row>
    <row r="15" spans="1:12" ht="15" thickBot="1">
      <c r="B15" s="94" t="s">
        <v>167</v>
      </c>
      <c r="D15" s="40">
        <f>PRODUCT(D4:D14)</f>
        <v>0</v>
      </c>
      <c r="E15" s="33"/>
      <c r="F15" s="33"/>
      <c r="G15" s="33"/>
      <c r="H15" s="1"/>
      <c r="I15" s="1"/>
      <c r="J15" s="102" t="e">
        <f>SUM(J3:J14)</f>
        <v>#VALUE!</v>
      </c>
    </row>
    <row r="16" spans="1:12" ht="15.6">
      <c r="A16" s="84"/>
      <c r="B16" s="94" t="s">
        <v>242</v>
      </c>
      <c r="C16" s="190"/>
      <c r="J16" s="101">
        <f>IF(Guidance!D20&lt;&gt;"RCF", 31, INDEX(Assumptions!$F$8:$T$8, 1, MATCH(Guidance!$D$17, Assumptions!$F$4:$T$4, FALSE)))</f>
        <v>31</v>
      </c>
      <c r="L16" s="1" t="s">
        <v>289</v>
      </c>
    </row>
    <row r="17" spans="1:11">
      <c r="A17" s="84"/>
      <c r="B17" s="1"/>
      <c r="D17" s="1"/>
      <c r="E17" s="1"/>
      <c r="F17" s="1"/>
      <c r="H17" s="1"/>
      <c r="I17" s="1"/>
      <c r="J17" s="1"/>
      <c r="K17" s="1"/>
    </row>
    <row r="18" spans="1:11" s="1" customFormat="1">
      <c r="B18" s="1" t="s">
        <v>369</v>
      </c>
    </row>
    <row r="19" spans="1:11">
      <c r="H19" s="1"/>
      <c r="I19" s="1"/>
      <c r="J19" s="1"/>
      <c r="K19" s="1"/>
    </row>
    <row r="20" spans="1:11" s="1" customFormat="1"/>
    <row r="21" spans="1:11" s="1" customFormat="1"/>
    <row r="22" spans="1:11" s="1" customFormat="1"/>
    <row r="23" spans="1:11" s="1" customFormat="1"/>
    <row r="24" spans="1:11" s="1" customFormat="1"/>
    <row r="25" spans="1:11" s="1" customFormat="1"/>
    <row r="30" spans="1:11">
      <c r="B30" s="1"/>
      <c r="D30" s="1"/>
      <c r="E30" s="1"/>
      <c r="F30" s="1"/>
      <c r="H30" s="1"/>
      <c r="I30" s="1"/>
      <c r="J30" s="1"/>
      <c r="K30" s="1"/>
    </row>
  </sheetData>
  <conditionalFormatting sqref="J16">
    <cfRule type="expression" dxfId="0" priority="1">
      <formula>$J$15&gt;$J$16</formula>
    </cfRule>
  </conditionalFormatting>
  <dataValidations count="1">
    <dataValidation type="list" allowBlank="1" showInputMessage="1" showErrorMessage="1" sqref="C4:C14" xr:uid="{DF28A3BA-9BB5-43DD-8C99-E8178B964A9C}">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2:S33"/>
  <sheetViews>
    <sheetView showGridLines="0" zoomScaleNormal="100" workbookViewId="0"/>
  </sheetViews>
  <sheetFormatPr defaultColWidth="9.21875" defaultRowHeight="14.4"/>
  <cols>
    <col min="1" max="1" width="6.6640625" style="2" customWidth="1"/>
    <col min="2" max="16384" width="9.21875" style="2"/>
  </cols>
  <sheetData>
    <row r="2" spans="2:19">
      <c r="B2" s="176" t="s">
        <v>231</v>
      </c>
    </row>
    <row r="4" spans="2:19">
      <c r="B4" s="99"/>
      <c r="C4" s="99"/>
      <c r="D4" s="99"/>
      <c r="E4" s="99"/>
      <c r="F4" s="99"/>
      <c r="G4" s="99"/>
      <c r="H4" s="99"/>
      <c r="I4" s="99"/>
      <c r="J4" s="99"/>
      <c r="K4" s="99"/>
      <c r="L4" s="99"/>
      <c r="M4" s="99"/>
      <c r="N4" s="99"/>
      <c r="O4" s="99"/>
      <c r="P4" s="99"/>
      <c r="Q4" s="99"/>
      <c r="R4" s="99"/>
      <c r="S4" s="99"/>
    </row>
    <row r="5" spans="2:19">
      <c r="B5" s="99"/>
      <c r="C5" s="99"/>
      <c r="D5" s="99"/>
      <c r="E5" s="99"/>
      <c r="F5" s="99"/>
      <c r="G5" s="99"/>
      <c r="H5" s="99"/>
      <c r="I5" s="99"/>
      <c r="J5" s="99"/>
      <c r="K5" s="99"/>
      <c r="L5" s="99"/>
      <c r="M5" s="99"/>
      <c r="N5" s="99"/>
      <c r="O5" s="99"/>
      <c r="P5" s="99"/>
      <c r="Q5" s="99"/>
      <c r="R5" s="99"/>
      <c r="S5" s="99"/>
    </row>
    <row r="6" spans="2:19">
      <c r="B6" s="99"/>
      <c r="C6" s="99"/>
      <c r="D6" s="99"/>
      <c r="E6" s="99"/>
      <c r="F6" s="99"/>
      <c r="G6" s="99"/>
      <c r="H6" s="99"/>
      <c r="I6" s="99"/>
      <c r="J6" s="99"/>
      <c r="K6" s="99"/>
      <c r="L6" s="99"/>
      <c r="M6" s="99"/>
      <c r="N6" s="99"/>
      <c r="O6" s="99"/>
      <c r="P6" s="99"/>
      <c r="Q6" s="99"/>
      <c r="R6" s="99"/>
      <c r="S6" s="99"/>
    </row>
    <row r="7" spans="2:19">
      <c r="B7" s="99"/>
      <c r="C7" s="99"/>
      <c r="D7" s="99"/>
      <c r="E7" s="99"/>
      <c r="F7" s="99"/>
      <c r="G7" s="99"/>
      <c r="H7" s="99"/>
      <c r="I7" s="99"/>
      <c r="J7" s="99"/>
      <c r="K7" s="99"/>
      <c r="L7" s="99"/>
      <c r="M7" s="99"/>
      <c r="N7" s="99"/>
      <c r="O7" s="99"/>
      <c r="P7" s="99"/>
      <c r="Q7" s="99"/>
      <c r="R7" s="99"/>
      <c r="S7" s="99"/>
    </row>
    <row r="8" spans="2:19">
      <c r="B8" s="99"/>
      <c r="C8" s="99"/>
      <c r="D8" s="99"/>
      <c r="E8" s="99"/>
      <c r="F8" s="99"/>
      <c r="G8" s="99"/>
      <c r="H8" s="99"/>
      <c r="I8" s="99"/>
      <c r="J8" s="99"/>
      <c r="K8" s="99"/>
      <c r="L8" s="99"/>
      <c r="M8" s="99"/>
      <c r="N8" s="99"/>
      <c r="O8" s="99"/>
      <c r="P8" s="99"/>
      <c r="Q8" s="99"/>
      <c r="R8" s="99"/>
      <c r="S8" s="99"/>
    </row>
    <row r="9" spans="2:19">
      <c r="B9" s="99"/>
      <c r="C9" s="99"/>
      <c r="D9" s="99"/>
      <c r="E9" s="99"/>
      <c r="F9" s="99"/>
      <c r="G9" s="99"/>
      <c r="H9" s="99"/>
      <c r="I9" s="99"/>
      <c r="J9" s="99"/>
      <c r="K9" s="99"/>
      <c r="L9" s="99"/>
      <c r="M9" s="99"/>
      <c r="N9" s="99"/>
      <c r="O9" s="99"/>
      <c r="P9" s="99"/>
      <c r="Q9" s="99"/>
      <c r="R9" s="99"/>
      <c r="S9" s="99"/>
    </row>
    <row r="10" spans="2:19">
      <c r="B10" s="99"/>
      <c r="C10" s="99"/>
      <c r="D10" s="99"/>
      <c r="E10" s="99"/>
      <c r="F10" s="99"/>
      <c r="G10" s="99"/>
      <c r="H10" s="99"/>
      <c r="I10" s="99"/>
      <c r="J10" s="99"/>
      <c r="K10" s="99"/>
      <c r="L10" s="99"/>
      <c r="M10" s="99"/>
      <c r="N10" s="99"/>
      <c r="O10" s="99"/>
      <c r="P10" s="99"/>
      <c r="Q10" s="99"/>
      <c r="R10" s="99"/>
      <c r="S10" s="99"/>
    </row>
    <row r="11" spans="2:19">
      <c r="B11" s="99"/>
      <c r="C11" s="99"/>
      <c r="D11" s="99"/>
      <c r="E11" s="99"/>
      <c r="F11" s="99"/>
      <c r="G11" s="99"/>
      <c r="H11" s="99"/>
      <c r="I11" s="99"/>
      <c r="J11" s="99"/>
      <c r="K11" s="99"/>
      <c r="L11" s="99"/>
      <c r="M11" s="99"/>
      <c r="N11" s="99"/>
      <c r="O11" s="99"/>
      <c r="P11" s="99"/>
      <c r="Q11" s="99"/>
      <c r="R11" s="99"/>
      <c r="S11" s="99"/>
    </row>
    <row r="12" spans="2:19">
      <c r="B12" s="99"/>
      <c r="C12" s="99"/>
      <c r="D12" s="99"/>
      <c r="E12" s="99"/>
      <c r="F12" s="99"/>
      <c r="G12" s="99"/>
      <c r="H12" s="99"/>
      <c r="I12" s="99"/>
      <c r="J12" s="99"/>
      <c r="K12" s="99"/>
      <c r="L12" s="99"/>
      <c r="M12" s="99"/>
      <c r="N12" s="99"/>
      <c r="O12" s="99"/>
      <c r="P12" s="99"/>
      <c r="Q12" s="99"/>
      <c r="R12" s="99"/>
      <c r="S12" s="99"/>
    </row>
    <row r="13" spans="2:19">
      <c r="B13" s="99"/>
      <c r="C13" s="99"/>
      <c r="D13" s="99"/>
      <c r="E13" s="99"/>
      <c r="F13" s="99"/>
      <c r="G13" s="99"/>
      <c r="H13" s="99"/>
      <c r="I13" s="99"/>
      <c r="J13" s="99"/>
      <c r="K13" s="99"/>
      <c r="L13" s="99"/>
      <c r="M13" s="99"/>
      <c r="N13" s="99"/>
      <c r="O13" s="99"/>
      <c r="P13" s="99"/>
      <c r="Q13" s="99"/>
      <c r="R13" s="99"/>
      <c r="S13" s="99"/>
    </row>
    <row r="14" spans="2:19">
      <c r="B14" s="99"/>
      <c r="C14" s="99"/>
      <c r="D14" s="99"/>
      <c r="E14" s="99"/>
      <c r="F14" s="99"/>
      <c r="G14" s="99"/>
      <c r="H14" s="99"/>
      <c r="I14" s="99"/>
      <c r="J14" s="99"/>
      <c r="K14" s="99"/>
      <c r="L14" s="99"/>
      <c r="M14" s="99"/>
      <c r="N14" s="99"/>
      <c r="O14" s="99"/>
      <c r="P14" s="99"/>
      <c r="Q14" s="99"/>
      <c r="R14" s="99"/>
      <c r="S14" s="99"/>
    </row>
    <row r="15" spans="2:19">
      <c r="B15" s="99"/>
      <c r="C15" s="99"/>
      <c r="D15" s="99"/>
      <c r="E15" s="99"/>
      <c r="F15" s="99"/>
      <c r="G15" s="99"/>
      <c r="H15" s="99"/>
      <c r="I15" s="99"/>
      <c r="J15" s="99"/>
      <c r="K15" s="99"/>
      <c r="L15" s="99"/>
      <c r="M15" s="99"/>
      <c r="N15" s="99"/>
      <c r="O15" s="99"/>
      <c r="P15" s="99"/>
      <c r="Q15" s="99"/>
      <c r="R15" s="99"/>
      <c r="S15" s="99"/>
    </row>
    <row r="16" spans="2:19">
      <c r="B16" s="99"/>
      <c r="C16" s="99"/>
      <c r="D16" s="99"/>
      <c r="E16" s="99"/>
      <c r="F16" s="99"/>
      <c r="G16" s="99"/>
      <c r="H16" s="99"/>
      <c r="I16" s="99"/>
      <c r="J16" s="99"/>
      <c r="K16" s="99"/>
      <c r="L16" s="99"/>
      <c r="M16" s="99"/>
      <c r="N16" s="99"/>
      <c r="O16" s="99"/>
      <c r="P16" s="99"/>
      <c r="Q16" s="99"/>
      <c r="R16" s="99"/>
      <c r="S16" s="99"/>
    </row>
    <row r="17" spans="2:19">
      <c r="B17" s="99"/>
      <c r="C17" s="99"/>
      <c r="D17" s="99"/>
      <c r="E17" s="99"/>
      <c r="F17" s="99"/>
      <c r="G17" s="99"/>
      <c r="H17" s="99"/>
      <c r="I17" s="99"/>
      <c r="J17" s="99"/>
      <c r="K17" s="99"/>
      <c r="L17" s="99"/>
      <c r="M17" s="99"/>
      <c r="N17" s="99"/>
      <c r="O17" s="99"/>
      <c r="P17" s="99"/>
      <c r="Q17" s="99"/>
      <c r="R17" s="99"/>
      <c r="S17" s="99"/>
    </row>
    <row r="18" spans="2:19">
      <c r="B18" s="99"/>
      <c r="C18" s="99"/>
      <c r="D18" s="99"/>
      <c r="E18" s="99"/>
      <c r="F18" s="99"/>
      <c r="G18" s="99"/>
      <c r="H18" s="99"/>
      <c r="I18" s="99"/>
      <c r="J18" s="99"/>
      <c r="K18" s="99"/>
      <c r="L18" s="99"/>
      <c r="M18" s="99"/>
      <c r="N18" s="99"/>
      <c r="O18" s="99"/>
      <c r="P18" s="99"/>
      <c r="Q18" s="99"/>
      <c r="R18" s="99"/>
      <c r="S18" s="99"/>
    </row>
    <row r="19" spans="2:19">
      <c r="B19" s="99"/>
      <c r="C19" s="99"/>
      <c r="D19" s="99"/>
      <c r="E19" s="99"/>
      <c r="F19" s="99"/>
      <c r="G19" s="99"/>
      <c r="H19" s="99"/>
      <c r="I19" s="99"/>
      <c r="J19" s="99"/>
      <c r="K19" s="99"/>
      <c r="L19" s="99"/>
      <c r="M19" s="99"/>
      <c r="N19" s="99"/>
      <c r="O19" s="99"/>
      <c r="P19" s="99"/>
      <c r="Q19" s="99"/>
      <c r="R19" s="99"/>
      <c r="S19" s="99"/>
    </row>
    <row r="20" spans="2:19">
      <c r="B20" s="99"/>
      <c r="C20" s="99"/>
      <c r="D20" s="99"/>
      <c r="E20" s="99"/>
      <c r="F20" s="99"/>
      <c r="G20" s="99"/>
      <c r="H20" s="99"/>
      <c r="I20" s="99"/>
      <c r="J20" s="99"/>
      <c r="K20" s="99"/>
      <c r="L20" s="99"/>
      <c r="M20" s="99"/>
      <c r="N20" s="99"/>
      <c r="O20" s="99"/>
      <c r="P20" s="99"/>
      <c r="Q20" s="99"/>
      <c r="R20" s="99"/>
      <c r="S20" s="99"/>
    </row>
    <row r="21" spans="2:19">
      <c r="B21" s="99"/>
      <c r="C21" s="99"/>
      <c r="D21" s="99"/>
      <c r="E21" s="99"/>
      <c r="F21" s="99"/>
      <c r="G21" s="99"/>
      <c r="H21" s="99"/>
      <c r="I21" s="99"/>
      <c r="J21" s="99"/>
      <c r="K21" s="99"/>
      <c r="L21" s="99"/>
      <c r="M21" s="99"/>
      <c r="N21" s="99"/>
      <c r="O21" s="99"/>
      <c r="P21" s="99"/>
      <c r="Q21" s="99"/>
      <c r="R21" s="99"/>
      <c r="S21" s="99"/>
    </row>
    <row r="22" spans="2:19">
      <c r="B22" s="99"/>
      <c r="C22" s="99"/>
      <c r="D22" s="99"/>
      <c r="E22" s="99"/>
      <c r="F22" s="99"/>
      <c r="G22" s="99"/>
      <c r="H22" s="99"/>
      <c r="I22" s="99"/>
      <c r="J22" s="99"/>
      <c r="K22" s="99"/>
      <c r="L22" s="99"/>
      <c r="M22" s="99"/>
      <c r="N22" s="99"/>
      <c r="O22" s="99"/>
      <c r="P22" s="99"/>
      <c r="Q22" s="99"/>
      <c r="R22" s="99"/>
      <c r="S22" s="99"/>
    </row>
    <row r="23" spans="2:19">
      <c r="B23" s="99"/>
      <c r="C23" s="99"/>
      <c r="D23" s="99"/>
      <c r="E23" s="99"/>
      <c r="F23" s="99"/>
      <c r="G23" s="99"/>
      <c r="H23" s="99"/>
      <c r="I23" s="99"/>
      <c r="J23" s="99"/>
      <c r="K23" s="99"/>
      <c r="L23" s="99"/>
      <c r="M23" s="99"/>
      <c r="N23" s="99"/>
      <c r="O23" s="99"/>
      <c r="P23" s="99"/>
      <c r="Q23" s="99"/>
      <c r="R23" s="99"/>
      <c r="S23" s="99"/>
    </row>
    <row r="24" spans="2:19">
      <c r="B24" s="99"/>
      <c r="C24" s="99"/>
      <c r="D24" s="99"/>
      <c r="E24" s="99"/>
      <c r="F24" s="99"/>
      <c r="G24" s="99"/>
      <c r="H24" s="99"/>
      <c r="I24" s="99"/>
      <c r="J24" s="99"/>
      <c r="K24" s="99"/>
      <c r="L24" s="99"/>
      <c r="M24" s="99"/>
      <c r="N24" s="99"/>
      <c r="O24" s="99"/>
      <c r="P24" s="99"/>
      <c r="Q24" s="99"/>
      <c r="R24" s="99"/>
      <c r="S24" s="99"/>
    </row>
    <row r="25" spans="2:19">
      <c r="B25" s="99"/>
      <c r="C25" s="99"/>
      <c r="D25" s="99"/>
      <c r="E25" s="99"/>
      <c r="F25" s="99"/>
      <c r="G25" s="99"/>
      <c r="H25" s="99"/>
      <c r="I25" s="99"/>
      <c r="J25" s="99"/>
      <c r="K25" s="99"/>
      <c r="L25" s="99"/>
      <c r="M25" s="99"/>
      <c r="N25" s="99"/>
      <c r="O25" s="99"/>
      <c r="P25" s="99"/>
      <c r="Q25" s="99"/>
      <c r="R25" s="99"/>
      <c r="S25" s="99"/>
    </row>
    <row r="26" spans="2:19">
      <c r="B26" s="99"/>
      <c r="C26" s="99"/>
      <c r="D26" s="99"/>
      <c r="E26" s="99"/>
      <c r="F26" s="99"/>
      <c r="G26" s="99"/>
      <c r="H26" s="99"/>
      <c r="I26" s="99"/>
      <c r="J26" s="99"/>
      <c r="K26" s="99"/>
      <c r="L26" s="99"/>
      <c r="M26" s="99"/>
      <c r="N26" s="99"/>
      <c r="O26" s="99"/>
      <c r="P26" s="99"/>
      <c r="Q26" s="99"/>
      <c r="R26" s="99"/>
      <c r="S26" s="99"/>
    </row>
    <row r="27" spans="2:19">
      <c r="B27" s="99"/>
      <c r="C27" s="99"/>
      <c r="D27" s="99"/>
      <c r="E27" s="99"/>
      <c r="F27" s="99"/>
      <c r="G27" s="99"/>
      <c r="H27" s="99"/>
      <c r="I27" s="99"/>
      <c r="J27" s="99"/>
      <c r="K27" s="99"/>
      <c r="L27" s="99"/>
      <c r="M27" s="99"/>
      <c r="N27" s="99"/>
      <c r="O27" s="99"/>
      <c r="P27" s="99"/>
      <c r="Q27" s="99"/>
      <c r="R27" s="99"/>
      <c r="S27" s="99"/>
    </row>
    <row r="28" spans="2:19">
      <c r="B28" s="99"/>
      <c r="C28" s="99"/>
      <c r="D28" s="99"/>
      <c r="E28" s="99"/>
      <c r="F28" s="99"/>
      <c r="G28" s="99"/>
      <c r="H28" s="99"/>
      <c r="I28" s="99"/>
      <c r="J28" s="99"/>
      <c r="K28" s="99"/>
      <c r="L28" s="99"/>
      <c r="M28" s="99"/>
      <c r="N28" s="99"/>
      <c r="O28" s="99"/>
      <c r="P28" s="99"/>
      <c r="Q28" s="99"/>
      <c r="R28" s="99"/>
      <c r="S28" s="99"/>
    </row>
    <row r="29" spans="2:19">
      <c r="B29" s="99"/>
      <c r="C29" s="99"/>
      <c r="D29" s="99"/>
      <c r="E29" s="99"/>
      <c r="F29" s="99"/>
      <c r="G29" s="99"/>
      <c r="H29" s="99"/>
      <c r="I29" s="99"/>
      <c r="J29" s="99"/>
      <c r="K29" s="99"/>
      <c r="L29" s="99"/>
      <c r="M29" s="99"/>
      <c r="N29" s="99"/>
      <c r="O29" s="99"/>
      <c r="P29" s="99"/>
      <c r="Q29" s="99"/>
      <c r="R29" s="99"/>
      <c r="S29" s="99"/>
    </row>
    <row r="30" spans="2:19">
      <c r="B30" s="99"/>
      <c r="C30" s="99"/>
      <c r="D30" s="99"/>
      <c r="E30" s="99"/>
      <c r="F30" s="99"/>
      <c r="G30" s="99"/>
      <c r="H30" s="99"/>
      <c r="I30" s="99"/>
      <c r="J30" s="99"/>
      <c r="K30" s="99"/>
      <c r="L30" s="99"/>
      <c r="M30" s="99"/>
      <c r="N30" s="99"/>
      <c r="O30" s="99"/>
      <c r="P30" s="99"/>
      <c r="Q30" s="99"/>
      <c r="R30" s="99"/>
      <c r="S30" s="99"/>
    </row>
    <row r="31" spans="2:19">
      <c r="B31" s="99"/>
      <c r="C31" s="99"/>
      <c r="D31" s="99"/>
      <c r="E31" s="99"/>
      <c r="F31" s="99"/>
      <c r="G31" s="99"/>
      <c r="H31" s="99"/>
      <c r="I31" s="99"/>
      <c r="J31" s="99"/>
      <c r="K31" s="99"/>
      <c r="L31" s="99"/>
      <c r="M31" s="99"/>
      <c r="N31" s="99"/>
      <c r="O31" s="99"/>
      <c r="P31" s="99"/>
      <c r="Q31" s="99"/>
      <c r="R31" s="99"/>
      <c r="S31" s="99"/>
    </row>
    <row r="32" spans="2:19">
      <c r="B32" s="99"/>
      <c r="C32" s="99"/>
      <c r="D32" s="99"/>
      <c r="E32" s="99"/>
      <c r="F32" s="99"/>
      <c r="G32" s="99"/>
      <c r="H32" s="99"/>
      <c r="I32" s="99"/>
      <c r="J32" s="99"/>
      <c r="K32" s="99"/>
      <c r="L32" s="99"/>
      <c r="M32" s="99"/>
      <c r="N32" s="99"/>
      <c r="O32" s="99"/>
      <c r="P32" s="99"/>
      <c r="Q32" s="99"/>
      <c r="R32" s="99"/>
      <c r="S32" s="99"/>
    </row>
    <row r="33" spans="2:19">
      <c r="B33" s="99"/>
      <c r="C33" s="99"/>
      <c r="D33" s="99"/>
      <c r="E33" s="99"/>
      <c r="F33" s="99"/>
      <c r="G33" s="99"/>
      <c r="H33" s="99"/>
      <c r="I33" s="99"/>
      <c r="J33" s="99"/>
      <c r="K33" s="99"/>
      <c r="L33" s="99"/>
      <c r="M33" s="99"/>
      <c r="N33" s="99"/>
      <c r="O33" s="99"/>
      <c r="P33" s="99"/>
      <c r="Q33" s="99"/>
      <c r="R33" s="99"/>
      <c r="S33" s="9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154A-FBD2-452C-B907-19D8DCEAC52E}">
  <sheetPr>
    <tabColor theme="9" tint="0.79998168889431442"/>
  </sheetPr>
  <dimension ref="B2:B36"/>
  <sheetViews>
    <sheetView showGridLines="0" zoomScaleNormal="100" workbookViewId="0"/>
  </sheetViews>
  <sheetFormatPr defaultRowHeight="14.4"/>
  <cols>
    <col min="1" max="1" width="6.6640625" customWidth="1"/>
    <col min="2" max="2" width="39.109375" customWidth="1"/>
  </cols>
  <sheetData>
    <row r="2" spans="2:2" s="1" customFormat="1">
      <c r="B2" s="33" t="s">
        <v>266</v>
      </c>
    </row>
    <row r="3" spans="2:2" s="1" customFormat="1">
      <c r="B3" s="160"/>
    </row>
    <row r="4" spans="2:2" s="1" customFormat="1">
      <c r="B4" s="160"/>
    </row>
    <row r="5" spans="2:2" s="1" customFormat="1"/>
    <row r="6" spans="2:2" s="1" customFormat="1">
      <c r="B6" s="33" t="s">
        <v>267</v>
      </c>
    </row>
    <row r="7" spans="2:2" s="1" customFormat="1">
      <c r="B7" s="161"/>
    </row>
    <row r="8" spans="2:2" s="1" customFormat="1">
      <c r="B8" s="161"/>
    </row>
    <row r="9" spans="2:2" s="1" customFormat="1">
      <c r="B9" s="33"/>
    </row>
    <row r="10" spans="2:2" s="1" customFormat="1">
      <c r="B10" s="33" t="s">
        <v>262</v>
      </c>
    </row>
    <row r="11" spans="2:2" s="1" customFormat="1">
      <c r="B11" s="160"/>
    </row>
    <row r="12" spans="2:2" s="1" customFormat="1">
      <c r="B12" s="160"/>
    </row>
    <row r="13" spans="2:2" s="1" customFormat="1"/>
    <row r="14" spans="2:2" s="1" customFormat="1">
      <c r="B14" s="33" t="s">
        <v>268</v>
      </c>
    </row>
    <row r="15" spans="2:2" s="1" customFormat="1">
      <c r="B15" s="160"/>
    </row>
    <row r="16" spans="2:2" s="1" customFormat="1">
      <c r="B16" s="160"/>
    </row>
    <row r="17" spans="2:2" s="1" customFormat="1"/>
    <row r="18" spans="2:2" s="1" customFormat="1">
      <c r="B18" s="33" t="s">
        <v>265</v>
      </c>
    </row>
    <row r="19" spans="2:2" s="1" customFormat="1">
      <c r="B19" s="160"/>
    </row>
    <row r="20" spans="2:2" s="1" customFormat="1">
      <c r="B20" s="160"/>
    </row>
    <row r="21" spans="2:2" s="1" customFormat="1"/>
    <row r="22" spans="2:2" s="1" customFormat="1">
      <c r="B22" s="33" t="s">
        <v>269</v>
      </c>
    </row>
    <row r="23" spans="2:2" s="1" customFormat="1">
      <c r="B23" s="160"/>
    </row>
    <row r="24" spans="2:2" s="1" customFormat="1">
      <c r="B24" s="160"/>
    </row>
    <row r="25" spans="2:2" s="1" customFormat="1"/>
    <row r="26" spans="2:2">
      <c r="B26" s="33" t="s">
        <v>263</v>
      </c>
    </row>
    <row r="27" spans="2:2">
      <c r="B27" s="160"/>
    </row>
    <row r="28" spans="2:2">
      <c r="B28" s="160"/>
    </row>
    <row r="30" spans="2:2">
      <c r="B30" s="33" t="s">
        <v>264</v>
      </c>
    </row>
    <row r="31" spans="2:2">
      <c r="B31" s="160"/>
    </row>
    <row r="32" spans="2:2">
      <c r="B32" s="160"/>
    </row>
    <row r="34" spans="2:2">
      <c r="B34" s="33" t="s">
        <v>247</v>
      </c>
    </row>
    <row r="35" spans="2:2">
      <c r="B35" s="160"/>
    </row>
    <row r="36" spans="2:2">
      <c r="B36" s="16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7D198-B341-4270-B536-C8E0BD89AFBF}">
  <sheetPr>
    <tabColor theme="9" tint="0.79998168889431442"/>
  </sheetPr>
  <dimension ref="B2:D33"/>
  <sheetViews>
    <sheetView showGridLines="0" zoomScaleNormal="100" workbookViewId="0"/>
  </sheetViews>
  <sheetFormatPr defaultColWidth="8.77734375" defaultRowHeight="14.4"/>
  <cols>
    <col min="1" max="1" width="6.6640625" style="1" customWidth="1"/>
    <col min="2" max="2" width="31.21875" style="1" customWidth="1"/>
    <col min="3" max="10" width="21.21875" style="1" customWidth="1"/>
    <col min="11" max="16384" width="8.77734375" style="1"/>
  </cols>
  <sheetData>
    <row r="2" spans="2:2">
      <c r="B2" s="33" t="s">
        <v>287</v>
      </c>
    </row>
    <row r="3" spans="2:2">
      <c r="B3" s="41" t="s">
        <v>288</v>
      </c>
    </row>
    <row r="4" spans="2:2">
      <c r="B4" s="1" t="s">
        <v>370</v>
      </c>
    </row>
    <row r="5" spans="2:2">
      <c r="B5" s="1" t="s">
        <v>371</v>
      </c>
    </row>
    <row r="7" spans="2:2">
      <c r="B7" s="1" t="s">
        <v>276</v>
      </c>
    </row>
    <row r="8" spans="2:2">
      <c r="B8" s="81" t="s">
        <v>275</v>
      </c>
    </row>
    <row r="9" spans="2:2">
      <c r="B9" s="81" t="s">
        <v>283</v>
      </c>
    </row>
    <row r="10" spans="2:2">
      <c r="B10" s="81"/>
    </row>
    <row r="11" spans="2:2">
      <c r="B11" s="82" t="s">
        <v>284</v>
      </c>
    </row>
    <row r="12" spans="2:2">
      <c r="B12" s="81" t="s">
        <v>278</v>
      </c>
    </row>
    <row r="13" spans="2:2">
      <c r="B13" s="1" t="s">
        <v>239</v>
      </c>
    </row>
    <row r="15" spans="2:2" ht="15.6">
      <c r="B15" s="41" t="s">
        <v>282</v>
      </c>
    </row>
    <row r="17" spans="2:4" ht="15.6">
      <c r="B17" s="1" t="s">
        <v>235</v>
      </c>
      <c r="C17" s="85">
        <f>IF(Guidance!D20="RCF",(C18*C19)/C20,0)</f>
        <v>0</v>
      </c>
      <c r="D17" s="1" t="s">
        <v>279</v>
      </c>
    </row>
    <row r="18" spans="2:4">
      <c r="B18" s="80" t="s">
        <v>236</v>
      </c>
      <c r="C18" s="88" t="str">
        <f>IF(Guidance!D20="RCF",22%, "NA")</f>
        <v>NA</v>
      </c>
      <c r="D18" s="80" t="s">
        <v>296</v>
      </c>
    </row>
    <row r="19" spans="2:4" ht="15.6">
      <c r="B19" s="80" t="s">
        <v>237</v>
      </c>
      <c r="C19" s="89" t="str">
        <f>IF(Guidance!D20="RCF",INDEX(Assumptions!$C$17:$AF$17, 1, MATCH(Guidance!$D$17, Assumptions!$C$15:$AF$15, FALSE)), "NA")</f>
        <v>NA</v>
      </c>
      <c r="D19" s="80" t="s">
        <v>281</v>
      </c>
    </row>
    <row r="20" spans="2:4">
      <c r="B20" s="80" t="s">
        <v>238</v>
      </c>
      <c r="C20" s="88" t="str">
        <f>IF(Guidance!D20="RCF",Summary!D15, "NA")</f>
        <v>NA</v>
      </c>
      <c r="D20" s="80" t="s">
        <v>280</v>
      </c>
    </row>
    <row r="23" spans="2:4">
      <c r="B23" s="33" t="s">
        <v>285</v>
      </c>
    </row>
    <row r="24" spans="2:4">
      <c r="B24" s="160"/>
    </row>
    <row r="25" spans="2:4">
      <c r="B25" s="160"/>
    </row>
    <row r="27" spans="2:4">
      <c r="B27" s="33" t="s">
        <v>286</v>
      </c>
    </row>
    <row r="28" spans="2:4">
      <c r="B28" s="160"/>
    </row>
    <row r="29" spans="2:4">
      <c r="B29" s="160"/>
    </row>
    <row r="31" spans="2:4">
      <c r="B31" s="33" t="s">
        <v>277</v>
      </c>
    </row>
    <row r="32" spans="2:4">
      <c r="B32" s="160"/>
    </row>
    <row r="33" spans="2:2">
      <c r="B33" s="16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2.777343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303</v>
      </c>
      <c r="D5" s="9" t="s">
        <v>309</v>
      </c>
      <c r="E5" s="43"/>
      <c r="F5" s="17"/>
      <c r="G5" s="17"/>
      <c r="H5" s="16"/>
      <c r="I5" s="16" t="s">
        <v>178</v>
      </c>
      <c r="J5" s="42"/>
      <c r="K5" s="16"/>
      <c r="L5" s="54">
        <f>IF($D5="MWh/yr (LHV)",$E5,$J5*$E5/3.6)</f>
        <v>0</v>
      </c>
      <c r="P5" s="42">
        <v>0</v>
      </c>
      <c r="Q5" s="16"/>
      <c r="R5" s="23" t="s">
        <v>326</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0">IF($D6="MWh/yr (LHV)",$E6,$J6*$E6/3.6)</f>
        <v>0</v>
      </c>
      <c r="P6" s="42" t="str">
        <f t="shared" ref="P6:P14" si="1">IF(B6="", "", IF(D6="MWh/yr (LHV)", "Use column to right", "Enter data here"))</f>
        <v>Use column to right</v>
      </c>
      <c r="Q6" s="42" t="str">
        <f t="shared" ref="Q6:Q14" si="2">IF(B6="", "", IF(D6="MWh/yr (LHV)", "Enter data here", "Use column to left"))</f>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0"/>
        <v>0</v>
      </c>
      <c r="M7" s="11"/>
      <c r="N7" s="11"/>
      <c r="O7" s="11"/>
      <c r="P7" s="42" t="str">
        <f t="shared" si="1"/>
        <v>Use column to right</v>
      </c>
      <c r="Q7" s="42" t="str">
        <f t="shared" si="2"/>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0"/>
        <v>0</v>
      </c>
      <c r="M8" s="11"/>
      <c r="N8" s="11"/>
      <c r="O8" s="11"/>
      <c r="P8" s="42" t="str">
        <f t="shared" si="1"/>
        <v>Enter data here</v>
      </c>
      <c r="Q8" s="42" t="str">
        <f t="shared" si="2"/>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0"/>
        <v>0</v>
      </c>
      <c r="M9" s="11"/>
      <c r="N9" s="11"/>
      <c r="O9" s="11"/>
      <c r="P9" s="42" t="str">
        <f t="shared" si="1"/>
        <v>Enter data here</v>
      </c>
      <c r="Q9" s="42" t="str">
        <f t="shared" si="2"/>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0"/>
        <v>0</v>
      </c>
      <c r="M10" s="11"/>
      <c r="N10" s="11"/>
      <c r="O10" s="11"/>
      <c r="P10" s="42" t="str">
        <f t="shared" si="1"/>
        <v>Enter data here</v>
      </c>
      <c r="Q10" s="42" t="str">
        <f t="shared" si="2"/>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0"/>
        <v>0</v>
      </c>
      <c r="M11" s="11"/>
      <c r="N11" s="11"/>
      <c r="O11" s="11"/>
      <c r="P11" s="42" t="str">
        <f t="shared" si="1"/>
        <v>Enter data here</v>
      </c>
      <c r="Q11" s="42" t="str">
        <f t="shared" si="2"/>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0"/>
        <v>0</v>
      </c>
      <c r="M12" s="11"/>
      <c r="N12" s="11"/>
      <c r="O12" s="11"/>
      <c r="P12" s="42" t="str">
        <f t="shared" si="1"/>
        <v>Enter data here</v>
      </c>
      <c r="Q12" s="42" t="str">
        <f t="shared" si="2"/>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0"/>
        <v>0</v>
      </c>
      <c r="M13" s="11"/>
      <c r="N13" s="11"/>
      <c r="O13" s="11"/>
      <c r="P13" s="42" t="str">
        <f t="shared" si="1"/>
        <v>Enter data here</v>
      </c>
      <c r="Q13" s="42" t="str">
        <f t="shared" si="2"/>
        <v>Use column to left</v>
      </c>
      <c r="R13" s="23" t="s">
        <v>362</v>
      </c>
      <c r="S13" s="184" t="str">
        <f t="shared" si="3"/>
        <v>Unfilled fields on left</v>
      </c>
      <c r="U13" s="24"/>
      <c r="V13" s="4"/>
    </row>
    <row r="14" spans="2:22">
      <c r="B14" s="9"/>
      <c r="C14" s="10"/>
      <c r="D14" s="9"/>
      <c r="E14" s="19"/>
      <c r="F14" s="17"/>
      <c r="G14" s="17"/>
      <c r="H14" s="16"/>
      <c r="I14" s="16"/>
      <c r="J14" s="16"/>
      <c r="K14" s="16"/>
      <c r="L14" s="54">
        <f t="shared" si="0"/>
        <v>0</v>
      </c>
      <c r="M14" s="11"/>
      <c r="N14" s="11"/>
      <c r="O14" s="11"/>
      <c r="P14" s="42" t="str">
        <f t="shared" si="1"/>
        <v/>
      </c>
      <c r="Q14" s="42" t="str">
        <f t="shared" si="2"/>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316</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10"/>
      <c r="D38" s="10"/>
      <c r="E38" s="10"/>
    </row>
    <row r="39" spans="2:22">
      <c r="B39" s="10"/>
      <c r="C39" s="10"/>
      <c r="D39" s="10"/>
      <c r="E39" s="10"/>
    </row>
    <row r="40" spans="2:22">
      <c r="B40" s="10"/>
      <c r="C40" s="10"/>
      <c r="D40" s="10"/>
      <c r="E40" s="10"/>
    </row>
  </sheetData>
  <dataValidations count="1">
    <dataValidation type="list" allowBlank="1" showInputMessage="1" showErrorMessage="1" sqref="D17:D33 D5:D14" xr:uid="{07BE9699-9C62-498A-AE4D-FA9BBD3DD09F}">
      <formula1>"tonnes/yr, MWh/yr (LHV)"</formula1>
    </dataValidation>
  </dataValidations>
  <pageMargins left="0.70000000000000007" right="0.70000000000000007" top="0.75" bottom="0.75" header="0.30000000000000004" footer="0.3000000000000000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9" tint="0.79998168889431442"/>
  </sheetPr>
  <dimension ref="B2:V40"/>
  <sheetViews>
    <sheetView showGridLines="0" zoomScaleNormal="100" workbookViewId="0"/>
  </sheetViews>
  <sheetFormatPr defaultColWidth="7.21875" defaultRowHeight="14.4"/>
  <cols>
    <col min="1" max="1" width="5.21875" style="4" customWidth="1"/>
    <col min="2" max="2" width="25" style="4" bestFit="1" customWidth="1"/>
    <col min="3" max="3" width="39" style="4" bestFit="1" customWidth="1"/>
    <col min="4" max="4" width="13.44140625" style="4" customWidth="1"/>
    <col min="5" max="5" width="15.33203125" style="6" customWidth="1"/>
    <col min="6" max="6" width="20.88671875" style="4" customWidth="1"/>
    <col min="7" max="7" width="17" style="4" customWidth="1"/>
    <col min="8" max="8" width="12.77734375" style="5" customWidth="1"/>
    <col min="9" max="9" width="17.44140625" style="5" customWidth="1"/>
    <col min="10" max="11" width="14.21875" style="5" customWidth="1"/>
    <col min="12" max="12" width="14" style="5" customWidth="1"/>
    <col min="13" max="13" width="7.21875" style="1"/>
    <col min="14" max="14" width="18.77734375" style="4" customWidth="1"/>
    <col min="15" max="15" width="17.5546875" style="4" customWidth="1"/>
    <col min="16" max="17" width="20.77734375" style="5" customWidth="1"/>
    <col min="18" max="18" width="16.21875" style="5" customWidth="1"/>
    <col min="19" max="19" width="20.21875" style="48" customWidth="1"/>
    <col min="20" max="20" width="7.21875" style="4" customWidth="1"/>
    <col min="21" max="21" width="21.33203125" style="4" customWidth="1"/>
    <col min="22" max="22" width="7.21875" style="1"/>
    <col min="23" max="16384" width="7.21875" style="4"/>
  </cols>
  <sheetData>
    <row r="2" spans="2:22" ht="87" thickBot="1">
      <c r="B2" s="3" t="s">
        <v>170</v>
      </c>
      <c r="C2" s="3" t="s">
        <v>171</v>
      </c>
      <c r="D2" s="3" t="s">
        <v>8</v>
      </c>
      <c r="E2" s="8" t="s">
        <v>172</v>
      </c>
      <c r="F2" s="38" t="s">
        <v>297</v>
      </c>
      <c r="G2" s="38" t="s">
        <v>298</v>
      </c>
      <c r="H2" s="38" t="s">
        <v>173</v>
      </c>
      <c r="I2" s="38" t="s">
        <v>299</v>
      </c>
      <c r="J2" s="38" t="s">
        <v>300</v>
      </c>
      <c r="K2" s="38" t="s">
        <v>301</v>
      </c>
      <c r="L2" s="38" t="s">
        <v>302</v>
      </c>
      <c r="M2" s="38"/>
      <c r="N2" s="39" t="s">
        <v>311</v>
      </c>
      <c r="O2" s="39" t="s">
        <v>312</v>
      </c>
      <c r="P2" s="38" t="s">
        <v>313</v>
      </c>
      <c r="Q2" s="38" t="s">
        <v>314</v>
      </c>
      <c r="R2" s="38" t="s">
        <v>174</v>
      </c>
      <c r="S2" s="47" t="s">
        <v>315</v>
      </c>
      <c r="T2" s="47"/>
      <c r="U2" s="38" t="s">
        <v>175</v>
      </c>
    </row>
    <row r="3" spans="2:22" ht="15" thickTop="1"/>
    <row r="4" spans="2:22">
      <c r="B4" s="181" t="s">
        <v>176</v>
      </c>
      <c r="C4" s="177"/>
      <c r="D4" s="177"/>
      <c r="E4" s="178"/>
      <c r="F4" s="177"/>
      <c r="G4" s="179"/>
      <c r="H4" s="180"/>
      <c r="I4" s="180"/>
      <c r="J4" s="180"/>
      <c r="K4" s="180"/>
      <c r="L4" s="180"/>
      <c r="N4" s="11"/>
      <c r="P4" s="14"/>
      <c r="Q4" s="14"/>
      <c r="R4" s="14"/>
      <c r="S4" s="49"/>
      <c r="U4" s="11"/>
      <c r="V4" s="4"/>
    </row>
    <row r="5" spans="2:22" s="11" customFormat="1">
      <c r="B5" s="10" t="s">
        <v>177</v>
      </c>
      <c r="C5" s="183" t="s">
        <v>303</v>
      </c>
      <c r="D5" s="9" t="s">
        <v>309</v>
      </c>
      <c r="E5" s="43"/>
      <c r="F5" s="17"/>
      <c r="G5" s="17"/>
      <c r="H5" s="16"/>
      <c r="I5" s="16" t="s">
        <v>185</v>
      </c>
      <c r="J5" s="42"/>
      <c r="K5" s="16"/>
      <c r="L5" s="54">
        <f>IF($D5="MWh/yr (LHV)",$E5,$J5*$E5/3.6)</f>
        <v>0</v>
      </c>
      <c r="P5" s="42" t="str">
        <f t="shared" ref="P5:P14" si="0">IF(B5="", "", IF(D5="MWh/yr (LHV)", "Use column to right", "Enter data here"))</f>
        <v>Enter data here</v>
      </c>
      <c r="Q5" s="42" t="str">
        <f t="shared" ref="Q5:Q14" si="1">IF(B5="", "", IF(D5="MWh/yr (LHV)", "Enter data here", "Use column to left"))</f>
        <v>Use column to left</v>
      </c>
      <c r="R5" s="23" t="s">
        <v>362</v>
      </c>
      <c r="S5" s="184" t="str">
        <f>IFERROR(IF(D5="tonnes/yr", $P5*$E5/($L$17*3.6), $Q5*$E5*3.6/($L$17*3.6)), "Unfilled fields on left")</f>
        <v>Unfilled fields on left</v>
      </c>
      <c r="U5" s="23"/>
    </row>
    <row r="6" spans="2:22" s="11" customFormat="1">
      <c r="B6" s="182" t="s">
        <v>179</v>
      </c>
      <c r="C6" s="183" t="s">
        <v>180</v>
      </c>
      <c r="D6" s="9" t="s">
        <v>310</v>
      </c>
      <c r="E6" s="18"/>
      <c r="F6" s="17"/>
      <c r="G6" s="17"/>
      <c r="H6" s="16"/>
      <c r="I6" s="16"/>
      <c r="J6" s="16"/>
      <c r="K6" s="16"/>
      <c r="L6" s="54">
        <f t="shared" ref="L6:L14" si="2">IF($D6="MWh/yr (LHV)",$E6,$J6*$E6/3.6)</f>
        <v>0</v>
      </c>
      <c r="P6" s="42" t="str">
        <f t="shared" si="0"/>
        <v>Use column to right</v>
      </c>
      <c r="Q6" s="42" t="str">
        <f t="shared" si="1"/>
        <v>Enter data here</v>
      </c>
      <c r="R6" s="23" t="s">
        <v>362</v>
      </c>
      <c r="S6" s="184" t="str">
        <f t="shared" ref="S6:S14" si="3">IFERROR(IF(D6="tonnes/yr", $P6*$E6/($L$17*3.6), $Q6*$E6*3.6/($L$17*3.6)), "Unfilled fields on left")</f>
        <v>Unfilled fields on left</v>
      </c>
      <c r="U6" s="17"/>
    </row>
    <row r="7" spans="2:22">
      <c r="B7" s="182" t="s">
        <v>179</v>
      </c>
      <c r="C7" s="183" t="s">
        <v>187</v>
      </c>
      <c r="D7" s="9" t="s">
        <v>310</v>
      </c>
      <c r="E7" s="18"/>
      <c r="F7" s="17"/>
      <c r="G7" s="17"/>
      <c r="H7" s="16"/>
      <c r="I7" s="16"/>
      <c r="J7" s="16"/>
      <c r="K7" s="16"/>
      <c r="L7" s="54">
        <f t="shared" si="2"/>
        <v>0</v>
      </c>
      <c r="M7" s="11"/>
      <c r="N7" s="11"/>
      <c r="O7" s="11"/>
      <c r="P7" s="42" t="str">
        <f t="shared" si="0"/>
        <v>Use column to right</v>
      </c>
      <c r="Q7" s="42" t="str">
        <f t="shared" si="1"/>
        <v>Enter data here</v>
      </c>
      <c r="R7" s="23" t="s">
        <v>362</v>
      </c>
      <c r="S7" s="184" t="str">
        <f t="shared" si="3"/>
        <v>Unfilled fields on left</v>
      </c>
      <c r="U7" s="17"/>
      <c r="V7" s="4"/>
    </row>
    <row r="8" spans="2:22" s="7" customFormat="1">
      <c r="B8" s="182" t="s">
        <v>179</v>
      </c>
      <c r="C8" s="183" t="s">
        <v>182</v>
      </c>
      <c r="D8" s="9" t="s">
        <v>309</v>
      </c>
      <c r="E8" s="19"/>
      <c r="F8" s="17"/>
      <c r="G8" s="17"/>
      <c r="H8" s="16"/>
      <c r="I8" s="16"/>
      <c r="J8" s="16"/>
      <c r="K8" s="16"/>
      <c r="L8" s="54">
        <f t="shared" si="2"/>
        <v>0</v>
      </c>
      <c r="M8" s="11"/>
      <c r="N8" s="11"/>
      <c r="O8" s="11"/>
      <c r="P8" s="42" t="str">
        <f t="shared" si="0"/>
        <v>Enter data here</v>
      </c>
      <c r="Q8" s="42" t="str">
        <f t="shared" si="1"/>
        <v>Use column to left</v>
      </c>
      <c r="R8" s="23" t="s">
        <v>362</v>
      </c>
      <c r="S8" s="184" t="str">
        <f t="shared" si="3"/>
        <v>Unfilled fields on left</v>
      </c>
      <c r="U8" s="24"/>
    </row>
    <row r="9" spans="2:22" s="7" customFormat="1">
      <c r="B9" s="182" t="s">
        <v>179</v>
      </c>
      <c r="C9" s="183" t="s">
        <v>304</v>
      </c>
      <c r="D9" s="9" t="s">
        <v>309</v>
      </c>
      <c r="E9" s="19"/>
      <c r="F9" s="17"/>
      <c r="G9" s="17"/>
      <c r="H9" s="16"/>
      <c r="I9" s="16"/>
      <c r="J9" s="16"/>
      <c r="K9" s="16"/>
      <c r="L9" s="54">
        <f t="shared" si="2"/>
        <v>0</v>
      </c>
      <c r="M9" s="11"/>
      <c r="N9" s="11"/>
      <c r="O9" s="11"/>
      <c r="P9" s="42" t="str">
        <f t="shared" si="0"/>
        <v>Enter data here</v>
      </c>
      <c r="Q9" s="42" t="str">
        <f t="shared" si="1"/>
        <v>Use column to left</v>
      </c>
      <c r="R9" s="23" t="s">
        <v>362</v>
      </c>
      <c r="S9" s="184" t="str">
        <f t="shared" si="3"/>
        <v>Unfilled fields on left</v>
      </c>
      <c r="U9" s="24"/>
    </row>
    <row r="10" spans="2:22">
      <c r="B10" s="182" t="s">
        <v>191</v>
      </c>
      <c r="C10" s="183" t="s">
        <v>192</v>
      </c>
      <c r="D10" s="9" t="s">
        <v>309</v>
      </c>
      <c r="E10" s="19"/>
      <c r="F10" s="17"/>
      <c r="G10" s="17"/>
      <c r="H10" s="16"/>
      <c r="I10" s="16"/>
      <c r="J10" s="16"/>
      <c r="K10" s="16"/>
      <c r="L10" s="54">
        <f t="shared" si="2"/>
        <v>0</v>
      </c>
      <c r="M10" s="11"/>
      <c r="N10" s="11"/>
      <c r="O10" s="11"/>
      <c r="P10" s="42" t="str">
        <f t="shared" si="0"/>
        <v>Enter data here</v>
      </c>
      <c r="Q10" s="42" t="str">
        <f t="shared" si="1"/>
        <v>Use column to left</v>
      </c>
      <c r="R10" s="23" t="s">
        <v>362</v>
      </c>
      <c r="S10" s="184" t="str">
        <f t="shared" si="3"/>
        <v>Unfilled fields on left</v>
      </c>
      <c r="U10" s="24"/>
      <c r="V10" s="4"/>
    </row>
    <row r="11" spans="2:22">
      <c r="B11" s="182" t="s">
        <v>191</v>
      </c>
      <c r="C11" s="183" t="s">
        <v>305</v>
      </c>
      <c r="D11" s="9" t="s">
        <v>309</v>
      </c>
      <c r="E11" s="19"/>
      <c r="F11" s="17"/>
      <c r="G11" s="17"/>
      <c r="H11" s="16"/>
      <c r="I11" s="16"/>
      <c r="J11" s="16"/>
      <c r="K11" s="16"/>
      <c r="L11" s="54">
        <f t="shared" si="2"/>
        <v>0</v>
      </c>
      <c r="M11" s="11"/>
      <c r="N11" s="11"/>
      <c r="O11" s="11"/>
      <c r="P11" s="42" t="str">
        <f t="shared" si="0"/>
        <v>Enter data here</v>
      </c>
      <c r="Q11" s="42" t="str">
        <f t="shared" si="1"/>
        <v>Use column to left</v>
      </c>
      <c r="R11" s="23" t="s">
        <v>362</v>
      </c>
      <c r="S11" s="184" t="str">
        <f t="shared" si="3"/>
        <v>Unfilled fields on left</v>
      </c>
      <c r="U11" s="24"/>
      <c r="V11" s="4"/>
    </row>
    <row r="12" spans="2:22">
      <c r="B12" s="182" t="s">
        <v>308</v>
      </c>
      <c r="C12" s="183" t="s">
        <v>306</v>
      </c>
      <c r="D12" s="9" t="s">
        <v>309</v>
      </c>
      <c r="E12" s="19"/>
      <c r="F12" s="17"/>
      <c r="G12" s="17"/>
      <c r="H12" s="16"/>
      <c r="I12" s="16"/>
      <c r="J12" s="16"/>
      <c r="K12" s="16"/>
      <c r="L12" s="54">
        <f t="shared" si="2"/>
        <v>0</v>
      </c>
      <c r="M12" s="11"/>
      <c r="N12" s="11"/>
      <c r="O12" s="11"/>
      <c r="P12" s="42" t="str">
        <f t="shared" si="0"/>
        <v>Enter data here</v>
      </c>
      <c r="Q12" s="42" t="str">
        <f t="shared" si="1"/>
        <v>Use column to left</v>
      </c>
      <c r="R12" s="23" t="s">
        <v>362</v>
      </c>
      <c r="S12" s="184" t="str">
        <f t="shared" si="3"/>
        <v>Unfilled fields on left</v>
      </c>
      <c r="U12" s="24"/>
      <c r="V12" s="4"/>
    </row>
    <row r="13" spans="2:22">
      <c r="B13" s="182" t="s">
        <v>308</v>
      </c>
      <c r="C13" s="183" t="s">
        <v>307</v>
      </c>
      <c r="D13" s="9" t="s">
        <v>309</v>
      </c>
      <c r="E13" s="19"/>
      <c r="F13" s="17"/>
      <c r="G13" s="17"/>
      <c r="H13" s="16"/>
      <c r="I13" s="16"/>
      <c r="J13" s="16"/>
      <c r="K13" s="16"/>
      <c r="L13" s="54">
        <f t="shared" si="2"/>
        <v>0</v>
      </c>
      <c r="M13" s="11"/>
      <c r="N13" s="11"/>
      <c r="O13" s="11"/>
      <c r="P13" s="42" t="str">
        <f t="shared" si="0"/>
        <v>Enter data here</v>
      </c>
      <c r="Q13" s="42" t="str">
        <f t="shared" si="1"/>
        <v>Use column to left</v>
      </c>
      <c r="R13" s="23" t="s">
        <v>362</v>
      </c>
      <c r="S13" s="184" t="str">
        <f t="shared" si="3"/>
        <v>Unfilled fields on left</v>
      </c>
      <c r="U13" s="24"/>
      <c r="V13" s="4"/>
    </row>
    <row r="14" spans="2:22">
      <c r="B14" s="9"/>
      <c r="C14" s="10"/>
      <c r="D14" s="9"/>
      <c r="E14" s="19"/>
      <c r="F14" s="17"/>
      <c r="G14" s="17"/>
      <c r="H14" s="16"/>
      <c r="I14" s="16"/>
      <c r="J14" s="16"/>
      <c r="K14" s="16"/>
      <c r="L14" s="54">
        <f t="shared" si="2"/>
        <v>0</v>
      </c>
      <c r="M14" s="11"/>
      <c r="N14" s="11"/>
      <c r="O14" s="11"/>
      <c r="P14" s="42" t="str">
        <f t="shared" si="0"/>
        <v/>
      </c>
      <c r="Q14" s="42" t="str">
        <f t="shared" si="1"/>
        <v/>
      </c>
      <c r="R14" s="23" t="s">
        <v>362</v>
      </c>
      <c r="S14" s="184" t="str">
        <f t="shared" si="3"/>
        <v>Unfilled fields on left</v>
      </c>
      <c r="U14" s="24"/>
      <c r="V14" s="4"/>
    </row>
    <row r="15" spans="2:22">
      <c r="C15" s="12"/>
      <c r="D15" s="12"/>
      <c r="E15" s="20"/>
      <c r="F15" s="25"/>
      <c r="G15" s="26"/>
      <c r="H15" s="21"/>
      <c r="I15" s="21"/>
      <c r="J15" s="21"/>
      <c r="K15" s="21"/>
      <c r="L15" s="21"/>
      <c r="M15" s="41"/>
      <c r="N15" s="11"/>
      <c r="O15" s="11"/>
      <c r="P15" s="21"/>
      <c r="Q15" s="21"/>
      <c r="R15" s="21"/>
      <c r="S15" s="185"/>
      <c r="U15" s="26"/>
      <c r="V15" s="4"/>
    </row>
    <row r="16" spans="2:22">
      <c r="B16" s="181" t="s">
        <v>183</v>
      </c>
      <c r="C16" s="177"/>
      <c r="D16" s="177"/>
      <c r="E16" s="178"/>
      <c r="F16" s="177"/>
      <c r="G16" s="179"/>
      <c r="H16" s="180"/>
      <c r="I16" s="180"/>
      <c r="J16" s="180"/>
      <c r="K16" s="180"/>
      <c r="L16" s="180"/>
      <c r="M16" s="41"/>
      <c r="N16" s="15"/>
      <c r="O16" s="11"/>
      <c r="P16" s="22"/>
      <c r="Q16" s="22"/>
      <c r="R16" s="22"/>
      <c r="S16" s="186"/>
      <c r="U16" s="27"/>
      <c r="V16" s="4"/>
    </row>
    <row r="17" spans="2:22" s="11" customFormat="1">
      <c r="B17" s="10" t="s">
        <v>184</v>
      </c>
      <c r="C17" s="183" t="s">
        <v>316</v>
      </c>
      <c r="D17" s="9" t="s">
        <v>309</v>
      </c>
      <c r="E17" s="44"/>
      <c r="F17" s="17"/>
      <c r="G17" s="17"/>
      <c r="H17" s="17"/>
      <c r="I17" s="17" t="s">
        <v>185</v>
      </c>
      <c r="J17" s="23"/>
      <c r="K17" s="17"/>
      <c r="L17" s="54">
        <f t="shared" ref="L17:L33" si="4">IF($D17="MWh/yr (LHV)",$E17,$J17*$E17/3.6)</f>
        <v>0</v>
      </c>
      <c r="N17" s="55" t="str">
        <f>IFERROR(L17/L5,"")</f>
        <v/>
      </c>
      <c r="O17" s="56" t="str">
        <f>IFERROR(L17/(SUM($L$17:$L$19)),"")</f>
        <v/>
      </c>
      <c r="P17" s="22"/>
      <c r="Q17" s="22"/>
      <c r="R17" s="22"/>
      <c r="S17" s="186"/>
      <c r="U17" s="17"/>
    </row>
    <row r="18" spans="2:22" s="7" customFormat="1">
      <c r="B18" s="182" t="s">
        <v>188</v>
      </c>
      <c r="C18" s="183" t="s">
        <v>317</v>
      </c>
      <c r="D18" s="9" t="s">
        <v>309</v>
      </c>
      <c r="E18" s="44"/>
      <c r="F18" s="17"/>
      <c r="G18" s="17"/>
      <c r="H18" s="16"/>
      <c r="I18" s="16"/>
      <c r="J18" s="16"/>
      <c r="K18" s="16"/>
      <c r="L18" s="54">
        <f t="shared" si="4"/>
        <v>0</v>
      </c>
      <c r="M18" s="11"/>
      <c r="N18" s="11"/>
      <c r="O18" s="56" t="str">
        <f>IFERROR(L18/(SUM($L$17:$L$19)),"")</f>
        <v/>
      </c>
      <c r="P18" s="22"/>
      <c r="Q18" s="22"/>
      <c r="R18" s="22"/>
      <c r="S18" s="186"/>
      <c r="U18" s="17"/>
    </row>
    <row r="19" spans="2:22" s="7" customFormat="1">
      <c r="B19" s="182" t="s">
        <v>188</v>
      </c>
      <c r="C19" s="183" t="s">
        <v>318</v>
      </c>
      <c r="D19" s="9" t="s">
        <v>309</v>
      </c>
      <c r="E19" s="19"/>
      <c r="F19" s="17"/>
      <c r="G19" s="17"/>
      <c r="H19" s="16"/>
      <c r="I19" s="16"/>
      <c r="J19" s="16"/>
      <c r="K19" s="16"/>
      <c r="L19" s="54">
        <f t="shared" si="4"/>
        <v>0</v>
      </c>
      <c r="M19" s="11"/>
      <c r="N19" s="11"/>
      <c r="O19" s="56" t="str">
        <f>IFERROR(L19/(SUM($L$17:$L$19)),"")</f>
        <v/>
      </c>
      <c r="P19" s="22"/>
      <c r="Q19" s="22"/>
      <c r="R19" s="22"/>
      <c r="S19" s="186"/>
      <c r="U19" s="17"/>
    </row>
    <row r="20" spans="2:22" s="7" customFormat="1">
      <c r="B20" s="182" t="s">
        <v>186</v>
      </c>
      <c r="C20" s="183" t="s">
        <v>319</v>
      </c>
      <c r="D20" s="9" t="s">
        <v>309</v>
      </c>
      <c r="E20" s="19"/>
      <c r="F20" s="17"/>
      <c r="G20" s="17"/>
      <c r="H20" s="16"/>
      <c r="I20" s="16"/>
      <c r="J20" s="16"/>
      <c r="K20" s="16"/>
      <c r="L20" s="54">
        <f t="shared" si="4"/>
        <v>0</v>
      </c>
      <c r="M20" s="11"/>
      <c r="N20" s="11"/>
      <c r="O20" s="11"/>
      <c r="P20" s="22"/>
      <c r="Q20" s="22"/>
      <c r="R20" s="22"/>
      <c r="S20" s="22"/>
      <c r="U20" s="17"/>
    </row>
    <row r="21" spans="2:22" s="7" customFormat="1">
      <c r="B21" s="182" t="s">
        <v>186</v>
      </c>
      <c r="C21" s="183" t="s">
        <v>355</v>
      </c>
      <c r="D21" s="9" t="s">
        <v>309</v>
      </c>
      <c r="E21" s="19"/>
      <c r="F21" s="17"/>
      <c r="G21" s="17"/>
      <c r="H21" s="16"/>
      <c r="I21" s="16"/>
      <c r="J21" s="16"/>
      <c r="K21" s="16"/>
      <c r="L21" s="54">
        <f t="shared" si="4"/>
        <v>0</v>
      </c>
      <c r="M21" s="11"/>
      <c r="N21" s="11"/>
      <c r="O21" s="11"/>
      <c r="P21" s="22"/>
      <c r="Q21" s="22"/>
      <c r="R21" s="22"/>
      <c r="S21" s="22"/>
      <c r="U21" s="17"/>
    </row>
    <row r="22" spans="2:22" s="7" customFormat="1">
      <c r="B22" s="182" t="s">
        <v>189</v>
      </c>
      <c r="C22" s="183" t="s">
        <v>320</v>
      </c>
      <c r="D22" s="9" t="s">
        <v>309</v>
      </c>
      <c r="E22" s="44"/>
      <c r="F22" s="17"/>
      <c r="G22" s="17"/>
      <c r="H22" s="16"/>
      <c r="I22" s="45"/>
      <c r="J22" s="42"/>
      <c r="K22" s="16"/>
      <c r="L22" s="54">
        <f t="shared" si="4"/>
        <v>0</v>
      </c>
      <c r="M22" s="11"/>
      <c r="N22" s="11"/>
      <c r="O22" s="11"/>
      <c r="P22" s="22"/>
      <c r="Q22" s="22"/>
      <c r="R22" s="22"/>
      <c r="S22" s="22"/>
      <c r="U22" s="17"/>
    </row>
    <row r="23" spans="2:22" s="7" customFormat="1">
      <c r="B23" s="182" t="s">
        <v>189</v>
      </c>
      <c r="C23" s="183" t="s">
        <v>190</v>
      </c>
      <c r="D23" s="9" t="s">
        <v>309</v>
      </c>
      <c r="E23" s="19"/>
      <c r="F23" s="17"/>
      <c r="G23" s="17"/>
      <c r="H23" s="16"/>
      <c r="I23" s="16"/>
      <c r="J23" s="16"/>
      <c r="K23" s="16"/>
      <c r="L23" s="54">
        <f t="shared" si="4"/>
        <v>0</v>
      </c>
      <c r="M23" s="11"/>
      <c r="N23" s="11"/>
      <c r="O23" s="11"/>
      <c r="P23" s="22"/>
      <c r="Q23" s="22"/>
      <c r="R23" s="22"/>
      <c r="S23" s="22"/>
      <c r="U23" s="17"/>
    </row>
    <row r="24" spans="2:22" s="7" customFormat="1">
      <c r="B24" s="182" t="s">
        <v>321</v>
      </c>
      <c r="C24" s="183" t="s">
        <v>322</v>
      </c>
      <c r="D24" s="9" t="s">
        <v>309</v>
      </c>
      <c r="E24" s="19"/>
      <c r="F24" s="17"/>
      <c r="G24" s="17"/>
      <c r="H24" s="16"/>
      <c r="I24" s="16"/>
      <c r="J24" s="16"/>
      <c r="K24" s="16"/>
      <c r="L24" s="54">
        <f t="shared" si="4"/>
        <v>0</v>
      </c>
      <c r="M24" s="11"/>
      <c r="N24" s="11"/>
      <c r="O24" s="11"/>
      <c r="P24" s="23">
        <v>1000</v>
      </c>
      <c r="Q24" s="22"/>
      <c r="R24" s="23" t="s">
        <v>327</v>
      </c>
      <c r="S24" s="184" t="str">
        <f>IFERROR(IF(D24="tonnes/yr", $P24*$E24/($L$17*3.6), $Q24*$E24*3.6/($L$17*3.6)), "Unfilled fields on left")</f>
        <v>Unfilled fields on left</v>
      </c>
      <c r="U24" s="17"/>
    </row>
    <row r="25" spans="2:22" s="7" customFormat="1">
      <c r="B25" s="182" t="s">
        <v>323</v>
      </c>
      <c r="C25" s="183" t="s">
        <v>324</v>
      </c>
      <c r="D25" s="9" t="s">
        <v>309</v>
      </c>
      <c r="E25" s="19"/>
      <c r="F25" s="17"/>
      <c r="G25" s="17"/>
      <c r="H25" s="16"/>
      <c r="I25" s="16"/>
      <c r="J25" s="16"/>
      <c r="K25" s="16"/>
      <c r="L25" s="54">
        <f t="shared" si="4"/>
        <v>0</v>
      </c>
      <c r="M25" s="11"/>
      <c r="N25" s="11"/>
      <c r="O25" s="11"/>
      <c r="P25" s="23">
        <v>28000</v>
      </c>
      <c r="Q25" s="22"/>
      <c r="R25" s="23" t="s">
        <v>328</v>
      </c>
      <c r="S25" s="184" t="str">
        <f>IFERROR(IF(D25="tonnes/yr", $P25*$E25/($L$17*3.6), $Q25*$E25*3.6/($L$17*3.6)), "Unfilled fields on left")</f>
        <v>Unfilled fields on left</v>
      </c>
      <c r="U25" s="17"/>
    </row>
    <row r="26" spans="2:22" s="7" customFormat="1">
      <c r="B26" s="182" t="s">
        <v>323</v>
      </c>
      <c r="C26" s="183" t="s">
        <v>325</v>
      </c>
      <c r="D26" s="9" t="s">
        <v>309</v>
      </c>
      <c r="E26" s="19"/>
      <c r="F26" s="17"/>
      <c r="G26" s="17"/>
      <c r="H26" s="16"/>
      <c r="I26" s="16"/>
      <c r="J26" s="16"/>
      <c r="K26" s="16"/>
      <c r="L26" s="54">
        <f t="shared" si="4"/>
        <v>0</v>
      </c>
      <c r="M26" s="11"/>
      <c r="N26" s="11"/>
      <c r="O26" s="11"/>
      <c r="P26" s="23">
        <v>265000</v>
      </c>
      <c r="Q26" s="22"/>
      <c r="R26" s="23" t="s">
        <v>328</v>
      </c>
      <c r="S26" s="184" t="str">
        <f>IFERROR(IF(D26="tonnes/yr", $P26*$E26/($L$17*3.6), $Q26*$E26*3.6/($L$17*3.6)), "Unfilled fields on left")</f>
        <v>Unfilled fields on left</v>
      </c>
      <c r="U26" s="17"/>
    </row>
    <row r="27" spans="2:22" s="7" customFormat="1">
      <c r="B27" s="10"/>
      <c r="C27" s="9"/>
      <c r="D27" s="9"/>
      <c r="E27" s="19"/>
      <c r="F27" s="17"/>
      <c r="G27" s="17"/>
      <c r="H27" s="16"/>
      <c r="I27" s="16"/>
      <c r="J27" s="16"/>
      <c r="K27" s="16"/>
      <c r="L27" s="54">
        <f t="shared" si="4"/>
        <v>0</v>
      </c>
      <c r="M27" s="11"/>
      <c r="N27" s="11"/>
      <c r="O27" s="11"/>
      <c r="P27" s="23"/>
      <c r="Q27" s="22"/>
      <c r="R27" s="23"/>
      <c r="S27" s="184" t="str">
        <f>IFERROR(IF(D27="tonnes/yr", $P27*$E27/($L$17*3.6), $Q27*$E27*3.6/($L$17*3.6)), "Unfilled fields on left")</f>
        <v>Unfilled fields on left</v>
      </c>
      <c r="U27" s="17"/>
    </row>
    <row r="28" spans="2:22" s="7" customFormat="1">
      <c r="B28" s="10"/>
      <c r="C28" s="9"/>
      <c r="D28" s="9"/>
      <c r="E28" s="19"/>
      <c r="F28" s="17"/>
      <c r="G28" s="17"/>
      <c r="H28" s="16"/>
      <c r="I28" s="16"/>
      <c r="J28" s="16"/>
      <c r="K28" s="16"/>
      <c r="L28" s="54">
        <f t="shared" si="4"/>
        <v>0</v>
      </c>
      <c r="M28" s="11"/>
      <c r="N28" s="11"/>
      <c r="O28" s="11"/>
      <c r="P28" s="23"/>
      <c r="Q28" s="22"/>
      <c r="R28" s="23"/>
      <c r="S28" s="184" t="str">
        <f>IFERROR(IF(D28="tonnes/yr", $P28*$E28/($L$17*3.6), $Q28*$E28*3.6/($L$17*3.6)), "Unfilled fields on left")</f>
        <v>Unfilled fields on left</v>
      </c>
      <c r="U28" s="17"/>
    </row>
    <row r="29" spans="2:22">
      <c r="B29" s="10"/>
      <c r="C29" s="9"/>
      <c r="D29" s="9"/>
      <c r="E29" s="19"/>
      <c r="F29" s="17"/>
      <c r="G29" s="17"/>
      <c r="H29" s="16"/>
      <c r="I29" s="16"/>
      <c r="J29" s="16"/>
      <c r="K29" s="16"/>
      <c r="L29" s="54">
        <f t="shared" si="4"/>
        <v>0</v>
      </c>
      <c r="M29" s="11"/>
      <c r="N29" s="11"/>
      <c r="O29" s="11"/>
      <c r="P29" s="23"/>
      <c r="Q29" s="22"/>
      <c r="R29" s="23"/>
      <c r="S29" s="184" t="str">
        <f t="shared" ref="S29:S33" si="5">IFERROR(IF(D29="tonnes/yr", $P29*$E29/($L$17*3.6), $Q29*$E29*3.6/($L$17*3.6)), "Unfilled fields on left")</f>
        <v>Unfilled fields on left</v>
      </c>
      <c r="T29" s="7"/>
      <c r="U29" s="17"/>
      <c r="V29" s="4"/>
    </row>
    <row r="30" spans="2:22">
      <c r="B30" s="10"/>
      <c r="C30" s="9"/>
      <c r="D30" s="9"/>
      <c r="E30" s="19"/>
      <c r="F30" s="17"/>
      <c r="G30" s="17"/>
      <c r="H30" s="16"/>
      <c r="I30" s="16"/>
      <c r="J30" s="16"/>
      <c r="K30" s="16"/>
      <c r="L30" s="54">
        <f t="shared" si="4"/>
        <v>0</v>
      </c>
      <c r="M30" s="11"/>
      <c r="N30" s="11"/>
      <c r="O30" s="11"/>
      <c r="P30" s="23"/>
      <c r="Q30" s="22"/>
      <c r="R30" s="23"/>
      <c r="S30" s="184" t="str">
        <f t="shared" si="5"/>
        <v>Unfilled fields on left</v>
      </c>
      <c r="T30" s="7"/>
      <c r="U30" s="17"/>
      <c r="V30" s="4"/>
    </row>
    <row r="31" spans="2:22">
      <c r="B31" s="10"/>
      <c r="C31" s="9"/>
      <c r="D31" s="9"/>
      <c r="E31" s="19"/>
      <c r="F31" s="17"/>
      <c r="G31" s="17"/>
      <c r="H31" s="16"/>
      <c r="I31" s="16"/>
      <c r="J31" s="16"/>
      <c r="K31" s="16"/>
      <c r="L31" s="54">
        <f t="shared" si="4"/>
        <v>0</v>
      </c>
      <c r="M31" s="11"/>
      <c r="N31" s="11"/>
      <c r="O31" s="11"/>
      <c r="P31" s="23"/>
      <c r="Q31" s="22"/>
      <c r="R31" s="23"/>
      <c r="S31" s="184" t="str">
        <f t="shared" si="5"/>
        <v>Unfilled fields on left</v>
      </c>
      <c r="T31" s="7"/>
      <c r="U31" s="17"/>
      <c r="V31" s="4"/>
    </row>
    <row r="32" spans="2:22">
      <c r="B32" s="10"/>
      <c r="C32" s="9"/>
      <c r="D32" s="9"/>
      <c r="E32" s="19"/>
      <c r="F32" s="17"/>
      <c r="G32" s="17"/>
      <c r="H32" s="16"/>
      <c r="I32" s="16"/>
      <c r="J32" s="16"/>
      <c r="K32" s="16"/>
      <c r="L32" s="54">
        <f t="shared" si="4"/>
        <v>0</v>
      </c>
      <c r="M32" s="11"/>
      <c r="N32" s="11"/>
      <c r="O32" s="11"/>
      <c r="P32" s="23"/>
      <c r="Q32" s="22"/>
      <c r="R32" s="23"/>
      <c r="S32" s="184" t="str">
        <f t="shared" si="5"/>
        <v>Unfilled fields on left</v>
      </c>
      <c r="T32" s="7"/>
      <c r="U32" s="17"/>
      <c r="V32" s="4"/>
    </row>
    <row r="33" spans="2:22">
      <c r="B33" s="10"/>
      <c r="C33" s="9"/>
      <c r="D33" s="9"/>
      <c r="E33" s="19"/>
      <c r="F33" s="17"/>
      <c r="G33" s="17"/>
      <c r="H33" s="16"/>
      <c r="I33" s="16"/>
      <c r="J33" s="16"/>
      <c r="K33" s="16"/>
      <c r="L33" s="54">
        <f t="shared" si="4"/>
        <v>0</v>
      </c>
      <c r="M33" s="11"/>
      <c r="N33" s="11"/>
      <c r="O33" s="11"/>
      <c r="P33" s="23"/>
      <c r="Q33" s="22"/>
      <c r="R33" s="23"/>
      <c r="S33" s="184" t="str">
        <f t="shared" si="5"/>
        <v>Unfilled fields on left</v>
      </c>
      <c r="T33" s="7"/>
      <c r="U33" s="17"/>
      <c r="V33" s="4"/>
    </row>
    <row r="34" spans="2:22">
      <c r="C34" s="12"/>
      <c r="D34" s="12"/>
      <c r="E34" s="13"/>
      <c r="F34" s="12"/>
      <c r="G34" s="11"/>
      <c r="H34" s="14"/>
      <c r="I34" s="14"/>
      <c r="J34" s="14"/>
      <c r="K34" s="14"/>
      <c r="L34" s="14"/>
      <c r="M34" s="4"/>
      <c r="P34" s="14"/>
      <c r="Q34" s="22"/>
      <c r="R34" s="14"/>
      <c r="S34" s="49"/>
      <c r="U34" s="11"/>
      <c r="V34" s="4"/>
    </row>
    <row r="35" spans="2:22">
      <c r="M35" s="4"/>
      <c r="R35" s="46" t="s">
        <v>168</v>
      </c>
      <c r="S35" s="187">
        <f>SUM(S4:S34)</f>
        <v>0</v>
      </c>
      <c r="V35" s="4"/>
    </row>
    <row r="36" spans="2:22">
      <c r="B36" s="181" t="s">
        <v>329</v>
      </c>
      <c r="C36" s="177"/>
      <c r="D36" s="177"/>
      <c r="E36" s="177"/>
      <c r="M36" s="4"/>
      <c r="V36" s="4"/>
    </row>
    <row r="37" spans="2:22">
      <c r="B37" s="10" t="s">
        <v>330</v>
      </c>
      <c r="C37" s="9" t="s">
        <v>331</v>
      </c>
      <c r="D37" s="9" t="s">
        <v>169</v>
      </c>
      <c r="E37" s="10"/>
    </row>
    <row r="38" spans="2:22">
      <c r="B38" s="10"/>
      <c r="C38" s="9"/>
      <c r="D38" s="9"/>
      <c r="E38" s="10"/>
    </row>
    <row r="39" spans="2:22">
      <c r="B39" s="10"/>
      <c r="C39" s="9"/>
      <c r="D39" s="9"/>
      <c r="E39" s="10"/>
    </row>
    <row r="40" spans="2:22">
      <c r="B40" s="10"/>
      <c r="C40" s="10"/>
      <c r="D40" s="10"/>
      <c r="E40" s="10"/>
    </row>
  </sheetData>
  <dataValidations count="1">
    <dataValidation type="list" allowBlank="1" showInputMessage="1" showErrorMessage="1" sqref="D5:D14 D17:D33" xr:uid="{2B78AC28-7B51-442E-A11D-0042E59CEC0D}">
      <formula1>"tonnes/yr, MWh/yr (LHV)"</formula1>
    </dataValidation>
  </dataValidations>
  <pageMargins left="0.70000000000000007" right="0.70000000000000007" top="0.75" bottom="0.75" header="0.30000000000000004" footer="0.30000000000000004"/>
  <pageSetup paperSize="9" orientation="portrait"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975772-6a6d-4c16-8090-d45d9e29473d">
      <Value>1</Value>
    </TaxCatchAll>
    <Document_x0020_TypeTaxonomyTaxHTField0 xmlns="http://schemas.microsoft.com/sharepoint/v3">
      <Terms xmlns="http://schemas.microsoft.com/office/infopath/2007/PartnerControls">
        <TermInfo xmlns="http://schemas.microsoft.com/office/infopath/2007/PartnerControls">
          <TermName xmlns="http://schemas.microsoft.com/office/infopath/2007/PartnerControls">Project Document</TermName>
          <TermId xmlns="http://schemas.microsoft.com/office/infopath/2007/PartnerControls">df098213-6b74-42fc-9316-2f1a9531d8f9</TermId>
        </TermInfo>
      </Terms>
    </Document_x0020_TypeTaxonomyTaxHTField0>
    <Generate_x0020_Keywords xmlns="110614fb-e963-4feb-b2e5-98fc6e4d32f3">true</Generate_x0020_Keywords>
    <Document_x0020_Comments xmlns="http://schemas.microsoft.com/sharepoint/v3" xsi:nil="true"/>
    <Authors xmlns="http://schemas.microsoft.com/sharepoint/v3">
      <UserInfo>
        <DisplayName/>
        <AccountId xsi:nil="true"/>
        <AccountType/>
      </UserInfo>
    </Authors>
    <R-DivisionTaxonomyTaxHTField0 xmlns="http://schemas.microsoft.com/sharepoint/v3">
      <Terms xmlns="http://schemas.microsoft.com/office/infopath/2007/PartnerControls"/>
    </R-DivisionTaxonomyTaxHTField0>
    <Project_x0020_Number xmlns="http://schemas.microsoft.com/sharepoint/v3" xsi:nil="true"/>
    <Authoring_x0020_Departments xmlns="110614fb-e963-4feb-b2e5-98fc6e4d32f3"/>
    <Document_x0020_Approver xmlns="http://schemas.microsoft.com/sharepoint/v3">
      <UserInfo>
        <DisplayName/>
        <AccountId xsi:nil="true"/>
        <AccountType/>
      </UserInfo>
    </Document_x0020_Approver>
    <R_x002d_KeywordsTaxonomyTaxHTField0 xmlns="http://schemas.microsoft.com/sharepoint/v3">
      <Terms xmlns="http://schemas.microsoft.com/office/infopath/2007/PartnerControls"/>
    </R_x002d_KeywordsTaxonomyTaxHTField0>
    <BusinessAreaTaxonomyTaxHTField0 xmlns="http://schemas.microsoft.com/sharepoint/v3">
      <Terms xmlns="http://schemas.microsoft.com/office/infopath/2007/PartnerControls"/>
    </BusinessAreaTaxonomyTaxHTField0>
    <Document_x0020_Status xmlns="110614fb-e963-4feb-b2e5-98fc6e4d32f3" xsi:nil="true"/>
    <Document_x0020_Reference xmlns="http://schemas.microsoft.com/sharepoint/v3" xsi:nil="true"/>
    <RootDocumentReference xmlns="http://schemas.microsoft.com/sharepoint/v3" xsi:nil="true"/>
    <R-DivisionPolicyTaxonomyTaxHTField0 xmlns="http://schemas.microsoft.com/sharepoint/v3">
      <Terms xmlns="http://schemas.microsoft.com/office/infopath/2007/PartnerControls"/>
    </R-DivisionPolicyTaxonomyTaxHTField0>
    <Document_x0020_Issued xmlns="110614fb-e963-4feb-b2e5-98fc6e4d32f3" xsi:nil="true"/>
    <Issued_x0020_Date xmlns="110614fb-e963-4feb-b2e5-98fc6e4d32f3" xsi:nil="true"/>
    <HideEverything xmlns="2ba16705-9ebe-45e5-8d99-4cfd91a8dc3f" xsi:nil="true"/>
    <AuthoredByCustomer xmlns="110614fb-e963-4feb-b2e5-98fc6e4d32f3">false</AuthoredByCustomer>
    <Folder_x0020_Structure xmlns="http://schemas.microsoft.com/sharepoint/v3">&lt;a href="/projects/ED16536/Documents"&gt;Documents&lt;/a&gt; &amp;gt; &lt;a href="/projects/ED16536/Documents/3%20Project%20delivery%20ED16536%20Advanced%20Fuels%20Fund"&gt;3 Project delivery ED16536 Advanced Fuels Fund&lt;/a&gt; &amp;gt; &lt;a href="/projects/ED16536/Documents/3%20Project%20delivery%20ED16536%20Advanced%20Fuels%20Fund/3%20Background%20information"&gt;3 Background information&lt;/a&gt; &amp;gt; &lt;a href="/projects/ED16536/Documents/3%20Project%20delivery%20ED16536%20Advanced%20Fuels%20Fund/3%20Background%20information/Post-launch"&gt;Post-launch&lt;/a&gt;</Folder_x0020_Structure>
    <KeyDocument xmlns="110614fb-e963-4feb-b2e5-98fc6e4d32f3">false</KeyDocument>
    <Market_x0020_SectorTaxonomyTaxHTField0 xmlns="http://schemas.microsoft.com/sharepoint/v3">
      <Terms xmlns="http://schemas.microsoft.com/office/infopath/2007/PartnerControls"/>
    </Market_x0020_SectorTaxonomyTaxHTField0>
    <AgressoCustomerTaxonomyTaxHTField0 xmlns="http://schemas.microsoft.com/sharepoint/v3">
      <Terms xmlns="http://schemas.microsoft.com/office/infopath/2007/PartnerControls"/>
    </AgressoCustomerTaxonomyTaxHTField0>
    <ApprovalRecordedBy xmlns="http://schemas.microsoft.com/sharepoint/v3">
      <UserInfo>
        <DisplayName/>
        <AccountId xsi:nil="true"/>
        <AccountType/>
      </UserInfo>
    </ApprovalRecordedBy>
    <Version_x0020_No xmlns="http://schemas.microsoft.com/sharepoint/v3">0.1</Version_x0020_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E Project Document" ma:contentTypeID="0x010100A1A26C4BCFF240D5BC273ED44781910B00DB7893F0587B354289208E53F756B6CC" ma:contentTypeVersion="6" ma:contentTypeDescription="REE Project Document" ma:contentTypeScope="" ma:versionID="72d781f77062a5d820404fe684ebf160">
  <xsd:schema xmlns:xsd="http://www.w3.org/2001/XMLSchema" xmlns:xs="http://www.w3.org/2001/XMLSchema" xmlns:p="http://schemas.microsoft.com/office/2006/metadata/properties" xmlns:ns1="http://schemas.microsoft.com/sharepoint/v3" xmlns:ns2="75975772-6a6d-4c16-8090-d45d9e29473d" xmlns:ns3="110614fb-e963-4feb-b2e5-98fc6e4d32f3" xmlns:ns4="2ba16705-9ebe-45e5-8d99-4cfd91a8dc3f" targetNamespace="http://schemas.microsoft.com/office/2006/metadata/properties" ma:root="true" ma:fieldsID="9bba288737aecb79c2fe5e678e8e4a13" ns1:_="" ns2:_="" ns3:_="" ns4:_="">
    <xsd:import namespace="http://schemas.microsoft.com/sharepoint/v3"/>
    <xsd:import namespace="75975772-6a6d-4c16-8090-d45d9e29473d"/>
    <xsd:import namespace="110614fb-e963-4feb-b2e5-98fc6e4d32f3"/>
    <xsd:import namespace="2ba16705-9ebe-45e5-8d99-4cfd91a8dc3f"/>
    <xsd:element name="properties">
      <xsd:complexType>
        <xsd:sequence>
          <xsd:element name="documentManagement">
            <xsd:complexType>
              <xsd:all>
                <xsd:element ref="ns2:_dlc_DocId" minOccurs="0"/>
                <xsd:element ref="ns2:_dlc_DocIdUrl" minOccurs="0"/>
                <xsd:element ref="ns2:_dlc_DocIdPersistId" minOccurs="0"/>
                <xsd:element ref="ns1:Document_x0020_TypeTaxonomyTaxHTField0" minOccurs="0"/>
                <xsd:element ref="ns1:R_x002d_KeywordsTaxonomyTaxHTField0" minOccurs="0"/>
                <xsd:element ref="ns3:Generate_x0020_Keywords" minOccurs="0"/>
                <xsd:element ref="ns1:Project_x0020_Number" minOccurs="0"/>
                <xsd:element ref="ns1:AgressoCustomerTaxonomyTaxHTField0" minOccurs="0"/>
                <xsd:element ref="ns1:BusinessAreaTaxonomyTaxHTField0" minOccurs="0"/>
                <xsd:element ref="ns1:R-DivisionPolicyTaxonomyTaxHTField0" minOccurs="0"/>
                <xsd:element ref="ns1:Market_x0020_SectorTaxonomyTaxHTField0" minOccurs="0"/>
                <xsd:element ref="ns1:Document_x0020_Comments" minOccurs="0"/>
                <xsd:element ref="ns1:Folder_x0020_Structure" minOccurs="0"/>
                <xsd:element ref="ns2:TaxCatchAll" minOccurs="0"/>
                <xsd:element ref="ns2:TaxCatchAllLabel" minOccurs="0"/>
                <xsd:element ref="ns1:FileExtension" minOccurs="0"/>
                <xsd:element ref="ns3:KeyDocument" minOccurs="0"/>
                <xsd:element ref="ns3:AuthoredByCustomer" minOccurs="0"/>
                <xsd:element ref="ns1:Authors" minOccurs="0"/>
                <xsd:element ref="ns3:Authoring_x0020_Departments" minOccurs="0"/>
                <xsd:element ref="ns3:Document_x0020_Issued" minOccurs="0"/>
                <xsd:element ref="ns1:Document_x0020_Reference" minOccurs="0"/>
                <xsd:element ref="ns1:RootDocumentReference" minOccurs="0"/>
                <xsd:element ref="ns3:Issued_x0020_Date" minOccurs="0"/>
                <xsd:element ref="ns3:Document_x0020_Status" minOccurs="0"/>
                <xsd:element ref="ns1:Document_x0020_Approver" minOccurs="0"/>
                <xsd:element ref="ns1:ApprovalRecordedBy" minOccurs="0"/>
                <xsd:element ref="ns1:Version_x0020_No" minOccurs="0"/>
                <xsd:element ref="ns1:R-DivisionTaxonomyTaxHTField0" minOccurs="0"/>
                <xsd:element ref="ns4:HideEveryth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_x0020_TypeTaxonomyTaxHTField0" ma:index="12" ma:taxonomy="true" ma:internalName="Document_x0020_TypeTaxonomyTaxHTField0" ma:taxonomyFieldName="Document_x0020_Type" ma:displayName="Document Type" ma:default="1;#Project Document|df098213-6b74-42fc-9316-2f1a9531d8f9" ma:fieldId="{fd31b5d2-9459-4462-9e35-c51176d55d6c}" ma:sspId="02677147-8018-48bf-96e8-39add3f86844" ma:termSetId="80de7132-7744-4fa5-9cb1-6eeaa76d3251" ma:anchorId="00000000-0000-0000-0000-000000000000" ma:open="false" ma:isKeyword="false">
      <xsd:complexType>
        <xsd:sequence>
          <xsd:element ref="pc:Terms" minOccurs="0" maxOccurs="1"/>
        </xsd:sequence>
      </xsd:complexType>
    </xsd:element>
    <xsd:element name="R_x002d_KeywordsTaxonomyTaxHTField0" ma:index="14" nillable="true" ma:taxonomy="true" ma:internalName="R_x002d_KeywordsTaxonomyTaxHTField0" ma:taxonomyFieldName="R_x002d_Keywords" ma:displayName="R-Keywords" ma:fieldId="{1c42c021-f3aa-43e0-98ca-6790571791a9}" ma:sspId="02677147-8018-48bf-96e8-39add3f86844" ma:termSetId="3101ac92-b66e-4a17-9ea7-0976b491e8e5"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simpleType>
    </xsd:element>
    <xsd:element name="AgressoCustomerTaxonomyTaxHTField0" ma:index="18" nillable="true" ma:taxonomy="true" ma:internalName="AgressoCustomerTaxonomyTaxHTField0" ma:taxonomyFieldName="AgressoCustomer" ma:displayName="Customer" ma:fieldId="{1d3b52e4-1af7-4246-9c35-147842386b6c}" ma:sspId="02677147-8018-48bf-96e8-39add3f86844" ma:termSetId="923cec87-5f7b-42ba-9a57-d5efa69a4b84" ma:anchorId="00000000-0000-0000-0000-000000000000" ma:open="false" ma:isKeyword="false">
      <xsd:complexType>
        <xsd:sequence>
          <xsd:element ref="pc:Terms" minOccurs="0" maxOccurs="1"/>
        </xsd:sequence>
      </xsd:complexType>
    </xsd:element>
    <xsd:element name="BusinessAreaTaxonomyTaxHTField0" ma:index="20" nillable="true" ma:taxonomy="true" ma:internalName="BusinessAreaTaxonomyTaxHTField0" ma:taxonomyFieldName="BusinessArea" ma:displayName="Business Area" ma:fieldId="{4d2c5a62-cace-44d5-a5f6-13d3bee16938}" ma:sspId="02677147-8018-48bf-96e8-39add3f86844" ma:termSetId="b135ba22-1eea-4fc3-9293-1752ba7ea5f6" ma:anchorId="00000000-0000-0000-0000-000000000000" ma:open="false" ma:isKeyword="false">
      <xsd:complexType>
        <xsd:sequence>
          <xsd:element ref="pc:Terms" minOccurs="0" maxOccurs="1"/>
        </xsd:sequence>
      </xsd:complexType>
    </xsd:element>
    <xsd:element name="R-DivisionPolicyTaxonomyTaxHTField0" ma:index="22" nillable="true" ma:taxonomy="true" ma:internalName="R_x002d_DivisionPolicyTaxonomyTaxHTField0" ma:taxonomyFieldName="R_x002d_DivisionPolicy" ma:displayName="Division" ma:fieldId="{50ad19bc-2508-45c6-bb4f-781576d44aa2}" ma:sspId="02677147-8018-48bf-96e8-39add3f86844" ma:termSetId="f724f16d-ce9a-4784-adab-f98a1fd9d8e6" ma:anchorId="00000000-0000-0000-0000-000000000000" ma:open="false" ma:isKeyword="false">
      <xsd:complexType>
        <xsd:sequence>
          <xsd:element ref="pc:Terms" minOccurs="0" maxOccurs="1"/>
        </xsd:sequence>
      </xsd:complexType>
    </xsd:element>
    <xsd:element name="Market_x0020_SectorTaxonomyTaxHTField0" ma:index="25" nillable="true" ma:taxonomy="true" ma:internalName="Market_x0020_SectorTaxonomyTaxHTField0" ma:taxonomyFieldName="Market_x0020_Sector" ma:displayName="Market Sector" ma:fieldId="{91294c4a-0fea-4059-9ad9-cccc9ef86cba}" ma:sspId="02677147-8018-48bf-96e8-39add3f86844" ma:termSetId="08cfdd10-ef36-4030-98be-25f6a603bde4" ma:anchorId="00000000-0000-0000-0000-000000000000" ma:open="false" ma:isKeyword="false">
      <xsd:complexType>
        <xsd:sequence>
          <xsd:element ref="pc:Terms" minOccurs="0" maxOccurs="1"/>
        </xsd:sequence>
      </xsd:complexType>
    </xsd:element>
    <xsd:element name="Document_x0020_Comments" ma:index="26" nillable="true" ma:displayName="Document Comments" ma:internalName="Document_x0020_Comments">
      <xsd:simpleType>
        <xsd:restriction base="dms:Note">
          <xsd:maxLength value="255"/>
        </xsd:restriction>
      </xsd:simpleType>
    </xsd:element>
    <xsd:element name="Folder_x0020_Structure" ma:index="27" nillable="true" ma:displayName="Folder Structure" ma:internalName="Folder_x0020_Structure">
      <xsd:simpleType>
        <xsd:restriction base="dms:Note"/>
      </xsd:simpleType>
    </xsd:element>
    <xsd:element name="FileExtension" ma:index="30" nillable="true" ma:displayName="File Extension" ma:internalName="FileExtension" ma:readOnly="true">
      <xsd:simpleType>
        <xsd:restriction base="dms:Text"/>
      </xsd:simpleType>
    </xsd:element>
    <xsd:element name="Authors" ma:index="33" nillable="true" ma:displayName="Authors"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Reference" ma:index="36" nillable="true" ma:displayName="Document Reference" ma:indexed="true" ma:internalName="Document_x0020_Reference">
      <xsd:simpleType>
        <xsd:restriction base="dms:Text"/>
      </xsd:simpleType>
    </xsd:element>
    <xsd:element name="RootDocumentReference" ma:index="37" nillable="true" ma:displayName="Root Document Reference" ma:indexed="true" ma:internalName="RootDocumentReference">
      <xsd:simpleType>
        <xsd:restriction base="dms:Text"/>
      </xsd:simpleType>
    </xsd:element>
    <xsd:element name="Document_x0020_Approver" ma:index="40" nillable="true" ma:displayName="Document Approver" ma:internalName="Document_x0020_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RecordedBy" ma:index="41" nillable="true" ma:displayName="Approval Recorded By" ma:internalName="ApprovalRecord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No" ma:index="42" nillable="true" ma:displayName="Version No" ma:internalName="Version_x0020_No" ma:readOnly="true">
      <xsd:simpleType>
        <xsd:restriction base="dms:Text"/>
      </xsd:simpleType>
    </xsd:element>
    <xsd:element name="R-DivisionTaxonomyTaxHTField0" ma:index="43" nillable="true" ma:taxonomy="true" ma:internalName="R_x002d_DivisionTaxonomyTaxHTField0" ma:taxonomyFieldName="R_x002d_Division" ma:displayName="Company" ma:fieldId="{a0b740e5-6a48-43d1-aea4-81fb22ff6c26}" ma:sspId="02677147-8018-48bf-96e8-39add3f86844" ma:termSetId="916500c3-4c6e-47cd-8039-34f4c1f6d9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75772-6a6d-4c16-8090-d45d9e29473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description="" ma:hidden="true" ma:list="{2f1819ee-5203-429e-8ea0-8b6b50eacc98}" ma:internalName="TaxCatchAll" ma:showField="CatchAllData" ma:web="110614fb-e963-4feb-b2e5-98fc6e4d32f3">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description="" ma:hidden="true" ma:list="{2f1819ee-5203-429e-8ea0-8b6b50eacc98}" ma:internalName="TaxCatchAllLabel" ma:readOnly="true" ma:showField="CatchAllDataLabel" ma:web="110614fb-e963-4feb-b2e5-98fc6e4d32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0614fb-e963-4feb-b2e5-98fc6e4d32f3" elementFormDefault="qualified">
    <xsd:import namespace="http://schemas.microsoft.com/office/2006/documentManagement/types"/>
    <xsd:import namespace="http://schemas.microsoft.com/office/infopath/2007/PartnerControls"/>
    <xsd:element name="Generate_x0020_Keywords" ma:index="15" nillable="true" ma:displayName="Generate Keywords" ma:default="1" ma:internalName="Generate_x0020_Keywords">
      <xsd:simpleType>
        <xsd:restriction base="dms:Boolean"/>
      </xsd:simpleType>
    </xsd:element>
    <xsd:element name="KeyDocument" ma:index="31" nillable="true" ma:displayName="Key Document" ma:default="0" ma:internalName="KeyDocument">
      <xsd:simpleType>
        <xsd:restriction base="dms:Boolean"/>
      </xsd:simpleType>
    </xsd:element>
    <xsd:element name="AuthoredByCustomer" ma:index="32" nillable="true" ma:displayName="Authored By Customer" ma:default="0" ma:internalName="AuthoredByCustomer">
      <xsd:simpleType>
        <xsd:restriction base="dms:Boolean"/>
      </xsd:simpleType>
    </xsd:element>
    <xsd:element name="Authoring_x0020_Departments" ma:index="34" nillable="true" ma:displayName="Authoring Departments" ma:internalName="Authoring_x0020_Departments">
      <xsd:complexType>
        <xsd:complexContent>
          <xsd:extension base="dms:MultiChoiceFillIn">
            <xsd:sequence>
              <xsd:element name="Value" maxOccurs="unbounded" minOccurs="0" nillable="true">
                <xsd:simpleType>
                  <xsd:union memberTypes="dms:Text">
                    <xsd:simpleType>
                      <xsd:restriction base="dms:Choice">
                        <xsd:enumeration value="No Department"/>
                      </xsd:restriction>
                    </xsd:simpleType>
                  </xsd:union>
                </xsd:simpleType>
              </xsd:element>
            </xsd:sequence>
          </xsd:extension>
        </xsd:complexContent>
      </xsd:complexType>
    </xsd:element>
    <xsd:element name="Document_x0020_Issued" ma:index="35" nillable="true" ma:displayName="Document Issued" ma:internalName="Document_x0020_Issued">
      <xsd:simpleType>
        <xsd:restriction base="dms:Choice">
          <xsd:enumeration value="Yes"/>
          <xsd:enumeration value="No"/>
        </xsd:restriction>
      </xsd:simpleType>
    </xsd:element>
    <xsd:element name="Issued_x0020_Date" ma:index="38" nillable="true" ma:displayName="Issued Date" ma:format="DateOnly" ma:internalName="Issued_x0020_Date">
      <xsd:simpleType>
        <xsd:restriction base="dms:DateTime"/>
      </xsd:simpleType>
    </xsd:element>
    <xsd:element name="Document_x0020_Status" ma:index="39" nillable="true" ma:displayName="Document Status" ma:internalName="Document_x0020_Status">
      <xsd:simpleType>
        <xsd:restriction base="dms:Choice">
          <xsd:enumeration value="Approved"/>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2ba16705-9ebe-45e5-8d99-4cfd91a8dc3f" elementFormDefault="qualified">
    <xsd:import namespace="http://schemas.microsoft.com/office/2006/documentManagement/types"/>
    <xsd:import namespace="http://schemas.microsoft.com/office/infopath/2007/PartnerControls"/>
    <xsd:element name="HideEverything" ma:index="44" nillable="true" ma:displayName="HideEverything" ma:internalName="HideEveryth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2677147-8018-48bf-96e8-39add3f86844" ContentTypeId="0x010100A1A26C4BCFF240D5BC273ED44781910B" PreviousValue="false"/>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F430AE4-1BB4-432E-8FFD-9620639F63EF}">
  <ds:schemaRefs>
    <ds:schemaRef ds:uri="http://purl.org/dc/terms/"/>
    <ds:schemaRef ds:uri="http://purl.org/dc/dcmitype/"/>
    <ds:schemaRef ds:uri="http://schemas.microsoft.com/office/infopath/2007/PartnerControls"/>
    <ds:schemaRef ds:uri="75975772-6a6d-4c16-8090-d45d9e29473d"/>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 ds:uri="2ba16705-9ebe-45e5-8d99-4cfd91a8dc3f"/>
    <ds:schemaRef ds:uri="110614fb-e963-4feb-b2e5-98fc6e4d32f3"/>
    <ds:schemaRef ds:uri="http://www.w3.org/XML/1998/namespace"/>
    <ds:schemaRef ds:uri="http://purl.org/dc/elements/1.1/"/>
    <ds:schemaRef ds:uri="6efd9bda-5fdd-49f3-9692-c2f57a8f124d"/>
    <ds:schemaRef ds:uri="8f9f480b-59e1-45bd-9ebc-650d595eb90c"/>
  </ds:schemaRefs>
</ds:datastoreItem>
</file>

<file path=customXml/itemProps2.xml><?xml version="1.0" encoding="utf-8"?>
<ds:datastoreItem xmlns:ds="http://schemas.openxmlformats.org/officeDocument/2006/customXml" ds:itemID="{9E7ECBB3-2596-4F0C-A0D5-52929F551A37}">
  <ds:schemaRefs>
    <ds:schemaRef ds:uri="http://schemas.microsoft.com/sharepoint/v3/contenttype/forms"/>
  </ds:schemaRefs>
</ds:datastoreItem>
</file>

<file path=customXml/itemProps3.xml><?xml version="1.0" encoding="utf-8"?>
<ds:datastoreItem xmlns:ds="http://schemas.openxmlformats.org/officeDocument/2006/customXml" ds:itemID="{934CCF21-8751-4804-9EF6-A9D6E94B7F88}"/>
</file>

<file path=customXml/itemProps4.xml><?xml version="1.0" encoding="utf-8"?>
<ds:datastoreItem xmlns:ds="http://schemas.openxmlformats.org/officeDocument/2006/customXml" ds:itemID="{6B01943F-58A6-4D3D-99DE-B8A255A38D80}"/>
</file>

<file path=customXml/itemProps5.xml><?xml version="1.0" encoding="utf-8"?>
<ds:datastoreItem xmlns:ds="http://schemas.openxmlformats.org/officeDocument/2006/customXml" ds:itemID="{E290C46F-0239-4613-A5CE-66B5CA57833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Guidance</vt:lpstr>
      <vt:lpstr>Units</vt:lpstr>
      <vt:lpstr>Assumptions</vt:lpstr>
      <vt:lpstr>Summary</vt:lpstr>
      <vt:lpstr>System Boundary</vt:lpstr>
      <vt:lpstr>Additional evidence</vt:lpstr>
      <vt:lpstr>RCF counterfactual</vt:lpstr>
      <vt:lpstr>Feedstock collection</vt:lpstr>
      <vt:lpstr>Feedstock transport</vt:lpstr>
      <vt:lpstr>Pre-processing</vt:lpstr>
      <vt:lpstr>Intermediate transport</vt:lpstr>
      <vt:lpstr>Conversion</vt:lpstr>
      <vt:lpstr>Further transport</vt:lpstr>
      <vt:lpstr>Upgrading</vt:lpstr>
      <vt:lpstr>Fuel distribution 1</vt:lpstr>
      <vt:lpstr>Fuel storage</vt:lpstr>
      <vt:lpstr>Fuel distribution 2</vt:lpstr>
      <vt:lpstr>Refuelling</vt:lpstr>
      <vt:lpstr>bbl_to_USgal</vt:lpstr>
      <vt:lpstr>kWh_to_MJ</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H GHG Calculation for Advanced Fuels Fund</dc:title>
  <dc:subject/>
  <dc:creator>Eloise Cotton</dc:creator>
  <cp:keywords/>
  <dc:description/>
  <cp:lastModifiedBy>Richard Taylor</cp:lastModifiedBy>
  <cp:revision/>
  <dcterms:created xsi:type="dcterms:W3CDTF">2012-01-05T14:11:32Z</dcterms:created>
  <dcterms:modified xsi:type="dcterms:W3CDTF">2022-08-01T23:06:07Z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0x010100A1A26C4BCFF240D5BC273ED44781910B00DB7893F0587B354289208E53F756B6CC</vt:lpwstr>
  </property>
  <property fmtid="{D5CDD505-2E9C-101B-9397-08002B2CF9AE}" pid="3" name="URL">
    <vt:lpwstr/>
  </property>
  <property fmtid="{D5CDD505-2E9C-101B-9397-08002B2CF9AE}" pid="4" name="_ExtendedDescription">
    <vt:lpwstr/>
  </property>
  <property fmtid="{D5CDD505-2E9C-101B-9397-08002B2CF9AE}" pid="5" name="MediaServiceImageTags">
    <vt:lpwstr/>
  </property>
  <property fmtid="{D5CDD505-2E9C-101B-9397-08002B2CF9AE}" pid="6" name="BusinessArea">
    <vt:lpwstr/>
  </property>
  <property fmtid="{D5CDD505-2E9C-101B-9397-08002B2CF9AE}" pid="7" name="AgressoCustomer">
    <vt:lpwstr/>
  </property>
  <property fmtid="{D5CDD505-2E9C-101B-9397-08002B2CF9AE}" pid="8" name="R-DivisionPolicy">
    <vt:lpwstr/>
  </property>
  <property fmtid="{D5CDD505-2E9C-101B-9397-08002B2CF9AE}" pid="9" name="R-Keywords">
    <vt:lpwstr/>
  </property>
  <property fmtid="{D5CDD505-2E9C-101B-9397-08002B2CF9AE}" pid="10" name="Market Sector">
    <vt:lpwstr/>
  </property>
  <property fmtid="{D5CDD505-2E9C-101B-9397-08002B2CF9AE}" pid="11" name="R-Division">
    <vt:lpwstr/>
  </property>
  <property fmtid="{D5CDD505-2E9C-101B-9397-08002B2CF9AE}" pid="12" name="Document Type">
    <vt:lpwstr>1;#Project Document|df098213-6b74-42fc-9316-2f1a9531d8f9</vt:lpwstr>
  </property>
</Properties>
</file>