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richard.taylor\Documents\Ricardo External\KateThompson - Advanced Fuels Fund (AFF) Competition\Window 3 Launch\Design docs\Updates\"/>
    </mc:Choice>
  </mc:AlternateContent>
  <xr:revisionPtr revIDLastSave="0" documentId="13_ncr:1_{1EAEC932-B133-4363-AFE7-A9A7CA62BFFE}" xr6:coauthVersionLast="47" xr6:coauthVersionMax="47" xr10:uidLastSave="{00000000-0000-0000-0000-000000000000}"/>
  <bookViews>
    <workbookView xWindow="-110" yWindow="-110" windowWidth="38620" windowHeight="21100" tabRatio="823" xr2:uid="{55DF6E7C-1012-4F7A-AF19-6B59C73FE14E}"/>
  </bookViews>
  <sheets>
    <sheet name="Guidance" sheetId="14" r:id="rId1"/>
    <sheet name="Units" sheetId="7" r:id="rId2"/>
    <sheet name="Assumptions" sheetId="25" r:id="rId3"/>
    <sheet name="Summary" sheetId="24" r:id="rId4"/>
    <sheet name="System Boundary" sheetId="8" r:id="rId5"/>
    <sheet name="Additional evidence" sheetId="27" r:id="rId6"/>
    <sheet name="RCF counterfactual" sheetId="28" r:id="rId7"/>
    <sheet name="Feedstock collection" sheetId="15" r:id="rId8"/>
    <sheet name="Feedstock transport" sheetId="4" r:id="rId9"/>
    <sheet name="Pre-processing" sheetId="16" r:id="rId10"/>
    <sheet name="Intermediate transport" sheetId="17" r:id="rId11"/>
    <sheet name="Conversion" sheetId="9" r:id="rId12"/>
    <sheet name="Further transport" sheetId="18" r:id="rId13"/>
    <sheet name="Upgrading to fuel" sheetId="19" r:id="rId14"/>
    <sheet name="Fuel distribution 1" sheetId="20" r:id="rId15"/>
    <sheet name="Fuel storage" sheetId="21" r:id="rId16"/>
    <sheet name="Fuel distribution 2" sheetId="22" r:id="rId17"/>
    <sheet name="Refuelling" sheetId="23" r:id="rId18"/>
  </sheets>
  <externalReferences>
    <externalReference r:id="rId19"/>
    <externalReference r:id="rId20"/>
  </externalReferences>
  <definedNames>
    <definedName name="__1234Graph_A" localSheetId="6" hidden="1">[1]Depreciation!#REF!</definedName>
    <definedName name="__1234Graph_A" hidden="1">[1]Depreciation!#REF!</definedName>
    <definedName name="__123Graph_A" localSheetId="6" hidden="1">[1]Depreciation!#REF!</definedName>
    <definedName name="__123Graph_A" hidden="1">[1]Depreciation!#REF!</definedName>
    <definedName name="__123Graph_B" localSheetId="6" hidden="1">[1]Depreciation!#REF!</definedName>
    <definedName name="__123Graph_B" hidden="1">[1]Depreciation!#REF!</definedName>
    <definedName name="__123Graph_C" localSheetId="6" hidden="1">[1]Depreciation!#REF!</definedName>
    <definedName name="__123Graph_C" hidden="1">[1]Depreciation!#REF!</definedName>
    <definedName name="__123Graph_D" localSheetId="6" hidden="1">[1]Depreciation!#REF!</definedName>
    <definedName name="__123Graph_D" hidden="1">[1]Depreciation!#REF!</definedName>
    <definedName name="__123Graph_E" localSheetId="6" hidden="1">[1]Depreciation!#REF!</definedName>
    <definedName name="__123Graph_E" hidden="1">[1]Depreciation!#REF!</definedName>
    <definedName name="__123Graph_F" localSheetId="6" hidden="1">[1]Depreciation!#REF!</definedName>
    <definedName name="__123Graph_F" hidden="1">[1]Depreciation!#REF!</definedName>
    <definedName name="__123Graph_X" localSheetId="6" hidden="1">[1]Depreciation!#REF!</definedName>
    <definedName name="__123Graph_X" hidden="1">[1]Depreciation!#REF!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Table1_In1" hidden="1">#REF!</definedName>
    <definedName name="_Table1_Out" hidden="1">#REF!</definedName>
    <definedName name="aadsds"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nscount" hidden="1">1</definedName>
    <definedName name="bbl_to_USgal">Units!$C$25</definedName>
    <definedName name="CBWorkbookPriority" hidden="1">-1631513760</definedName>
    <definedName name="Conversion_kWh_to_MJ">[2]Units!$C$8</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39343.6573842593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Wh_to_MJ">Units!$C$8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b_inputLocation" localSheetId="6" hidden="1">#REF!</definedName>
    <definedName name="mb_inputLocation" hidden="1">#REF!</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My._.estimate._.report." localSheetId="6" hidden="1">{"Equipment",#N/A,FALSE,"A";"Summary",#N/A,FALSE,"B"}</definedName>
    <definedName name="wrn.My._.estimate._.report." localSheetId="1" hidden="1">{"Equipment",#N/A,FALSE,"A";"Summary",#N/A,FALSE,"B"}</definedName>
    <definedName name="wrn.My._.estimate._.report." hidden="1">{"Equipment",#N/A,FALSE,"A";"Summary",#N/A,FALSE,"B"}</definedName>
    <definedName name="Yes_No">Units!$B$89:$B$90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8" i="19" l="1"/>
  <c r="O37" i="19"/>
  <c r="O36" i="19"/>
  <c r="O35" i="19"/>
  <c r="O34" i="19"/>
  <c r="O33" i="19"/>
  <c r="O32" i="19"/>
  <c r="O31" i="19"/>
  <c r="O30" i="19"/>
  <c r="O29" i="19"/>
  <c r="O28" i="19"/>
  <c r="O27" i="19"/>
  <c r="O26" i="19"/>
  <c r="O25" i="19"/>
  <c r="O24" i="19"/>
  <c r="O23" i="19"/>
  <c r="O22" i="19"/>
  <c r="O21" i="19"/>
  <c r="O20" i="19"/>
  <c r="O19" i="19"/>
  <c r="O18" i="19"/>
  <c r="O17" i="19"/>
  <c r="O14" i="19"/>
  <c r="O13" i="19"/>
  <c r="O12" i="19"/>
  <c r="O11" i="19"/>
  <c r="O10" i="19"/>
  <c r="O9" i="19"/>
  <c r="O8" i="19"/>
  <c r="O7" i="19"/>
  <c r="O6" i="19"/>
  <c r="O5" i="19"/>
  <c r="P17" i="19" s="1"/>
  <c r="O38" i="9"/>
  <c r="O37" i="9"/>
  <c r="O36" i="9"/>
  <c r="O35" i="9"/>
  <c r="O34" i="9"/>
  <c r="O33" i="9"/>
  <c r="O32" i="9"/>
  <c r="O31" i="9"/>
  <c r="O30" i="9"/>
  <c r="O29" i="9"/>
  <c r="O28" i="9"/>
  <c r="O27" i="9"/>
  <c r="O26" i="9"/>
  <c r="O25" i="9"/>
  <c r="O24" i="9"/>
  <c r="O23" i="9"/>
  <c r="O22" i="9"/>
  <c r="O21" i="9"/>
  <c r="O20" i="9"/>
  <c r="O19" i="9"/>
  <c r="O18" i="9"/>
  <c r="O17" i="9"/>
  <c r="W37" i="9" s="1"/>
  <c r="O14" i="9"/>
  <c r="O13" i="9"/>
  <c r="O12" i="9"/>
  <c r="O11" i="9"/>
  <c r="O10" i="9"/>
  <c r="O9" i="9"/>
  <c r="O8" i="9"/>
  <c r="O7" i="9"/>
  <c r="O6" i="9"/>
  <c r="O5" i="9"/>
  <c r="O36" i="16"/>
  <c r="O37" i="16"/>
  <c r="O38" i="16"/>
  <c r="O35" i="16"/>
  <c r="O34" i="16"/>
  <c r="O33" i="16"/>
  <c r="O32" i="16"/>
  <c r="O31" i="16"/>
  <c r="O30" i="16"/>
  <c r="O29" i="16"/>
  <c r="O28" i="16"/>
  <c r="O27" i="16"/>
  <c r="O26" i="16"/>
  <c r="O25" i="16"/>
  <c r="O24" i="16"/>
  <c r="O23" i="16"/>
  <c r="O22" i="16"/>
  <c r="O21" i="16"/>
  <c r="O20" i="16"/>
  <c r="O19" i="16"/>
  <c r="O18" i="16"/>
  <c r="O17" i="16"/>
  <c r="O14" i="16"/>
  <c r="O13" i="16"/>
  <c r="O12" i="16"/>
  <c r="O11" i="16"/>
  <c r="O10" i="16"/>
  <c r="O9" i="16"/>
  <c r="O8" i="16"/>
  <c r="O7" i="16"/>
  <c r="O6" i="16"/>
  <c r="O5" i="16"/>
  <c r="O33" i="23"/>
  <c r="O32" i="23"/>
  <c r="O31" i="23"/>
  <c r="O30" i="23"/>
  <c r="O29" i="23"/>
  <c r="O28" i="23"/>
  <c r="O27" i="23"/>
  <c r="O26" i="23"/>
  <c r="O25" i="23"/>
  <c r="O24" i="23"/>
  <c r="O23" i="23"/>
  <c r="O22" i="23"/>
  <c r="O21" i="23"/>
  <c r="O20" i="23"/>
  <c r="O19" i="23"/>
  <c r="O18" i="23"/>
  <c r="O17" i="23"/>
  <c r="W29" i="23" s="1"/>
  <c r="O14" i="23"/>
  <c r="O13" i="23"/>
  <c r="O12" i="23"/>
  <c r="O11" i="23"/>
  <c r="O10" i="23"/>
  <c r="O9" i="23"/>
  <c r="O8" i="23"/>
  <c r="O7" i="23"/>
  <c r="O6" i="23"/>
  <c r="O5" i="23"/>
  <c r="O33" i="22"/>
  <c r="O32" i="22"/>
  <c r="O31" i="22"/>
  <c r="O30" i="22"/>
  <c r="O29" i="22"/>
  <c r="O28" i="22"/>
  <c r="O27" i="22"/>
  <c r="O26" i="22"/>
  <c r="O25" i="22"/>
  <c r="O24" i="22"/>
  <c r="O23" i="22"/>
  <c r="O22" i="22"/>
  <c r="O21" i="22"/>
  <c r="O20" i="22"/>
  <c r="O19" i="22"/>
  <c r="O18" i="22"/>
  <c r="O17" i="22"/>
  <c r="O14" i="22"/>
  <c r="O13" i="22"/>
  <c r="O12" i="22"/>
  <c r="O11" i="22"/>
  <c r="O10" i="22"/>
  <c r="O9" i="22"/>
  <c r="O8" i="22"/>
  <c r="O7" i="22"/>
  <c r="O6" i="22"/>
  <c r="O5" i="22"/>
  <c r="O33" i="21"/>
  <c r="O32" i="21"/>
  <c r="O31" i="21"/>
  <c r="O30" i="21"/>
  <c r="O29" i="21"/>
  <c r="O28" i="21"/>
  <c r="O27" i="21"/>
  <c r="O26" i="21"/>
  <c r="O25" i="21"/>
  <c r="O24" i="21"/>
  <c r="O23" i="21"/>
  <c r="O22" i="21"/>
  <c r="O21" i="21"/>
  <c r="O20" i="21"/>
  <c r="O19" i="21"/>
  <c r="O18" i="21"/>
  <c r="O17" i="21"/>
  <c r="O14" i="21"/>
  <c r="O13" i="21"/>
  <c r="O12" i="21"/>
  <c r="O11" i="21"/>
  <c r="O10" i="21"/>
  <c r="O9" i="21"/>
  <c r="O8" i="21"/>
  <c r="O7" i="21"/>
  <c r="O6" i="21"/>
  <c r="O5" i="21"/>
  <c r="P17" i="21"/>
  <c r="O33" i="20"/>
  <c r="O32" i="20"/>
  <c r="O31" i="20"/>
  <c r="O30" i="20"/>
  <c r="O29" i="20"/>
  <c r="O28" i="20"/>
  <c r="O27" i="20"/>
  <c r="O26" i="20"/>
  <c r="O25" i="20"/>
  <c r="O24" i="20"/>
  <c r="O23" i="20"/>
  <c r="O22" i="20"/>
  <c r="O21" i="20"/>
  <c r="O20" i="20"/>
  <c r="O19" i="20"/>
  <c r="O18" i="20"/>
  <c r="O17" i="20"/>
  <c r="O14" i="20"/>
  <c r="O13" i="20"/>
  <c r="O12" i="20"/>
  <c r="O11" i="20"/>
  <c r="O10" i="20"/>
  <c r="O9" i="20"/>
  <c r="O8" i="20"/>
  <c r="O7" i="20"/>
  <c r="O6" i="20"/>
  <c r="O5" i="20"/>
  <c r="O33" i="18"/>
  <c r="O32" i="18"/>
  <c r="O31" i="18"/>
  <c r="O30" i="18"/>
  <c r="O29" i="18"/>
  <c r="O28" i="18"/>
  <c r="O27" i="18"/>
  <c r="O26" i="18"/>
  <c r="O25" i="18"/>
  <c r="O24" i="18"/>
  <c r="O23" i="18"/>
  <c r="O22" i="18"/>
  <c r="O21" i="18"/>
  <c r="O20" i="18"/>
  <c r="O19" i="18"/>
  <c r="O18" i="18"/>
  <c r="O17" i="18"/>
  <c r="O14" i="18"/>
  <c r="O13" i="18"/>
  <c r="O12" i="18"/>
  <c r="O11" i="18"/>
  <c r="O10" i="18"/>
  <c r="O9" i="18"/>
  <c r="O8" i="18"/>
  <c r="O7" i="18"/>
  <c r="O6" i="18"/>
  <c r="O5" i="18"/>
  <c r="P17" i="18" s="1"/>
  <c r="O33" i="17"/>
  <c r="O32" i="17"/>
  <c r="O31" i="17"/>
  <c r="O30" i="17"/>
  <c r="O29" i="17"/>
  <c r="O28" i="17"/>
  <c r="O27" i="17"/>
  <c r="O26" i="17"/>
  <c r="O25" i="17"/>
  <c r="O24" i="17"/>
  <c r="O23" i="17"/>
  <c r="O22" i="17"/>
  <c r="O21" i="17"/>
  <c r="O20" i="17"/>
  <c r="O19" i="17"/>
  <c r="O18" i="17"/>
  <c r="O17" i="17"/>
  <c r="O14" i="17"/>
  <c r="O13" i="17"/>
  <c r="O12" i="17"/>
  <c r="O11" i="17"/>
  <c r="O10" i="17"/>
  <c r="O9" i="17"/>
  <c r="O8" i="17"/>
  <c r="O7" i="17"/>
  <c r="O6" i="17"/>
  <c r="O5" i="17"/>
  <c r="O33" i="4"/>
  <c r="O32" i="4"/>
  <c r="O31" i="4"/>
  <c r="O30" i="4"/>
  <c r="O29" i="4"/>
  <c r="O28" i="4"/>
  <c r="O27" i="4"/>
  <c r="O26" i="4"/>
  <c r="O25" i="4"/>
  <c r="O24" i="4"/>
  <c r="O23" i="4"/>
  <c r="O22" i="4"/>
  <c r="O21" i="4"/>
  <c r="O20" i="4"/>
  <c r="O19" i="4"/>
  <c r="O18" i="4"/>
  <c r="O17" i="4"/>
  <c r="O14" i="4"/>
  <c r="O13" i="4"/>
  <c r="O12" i="4"/>
  <c r="O11" i="4"/>
  <c r="O10" i="4"/>
  <c r="O9" i="4"/>
  <c r="O8" i="4"/>
  <c r="O7" i="4"/>
  <c r="O6" i="4"/>
  <c r="O5" i="4"/>
  <c r="R22" i="9"/>
  <c r="W37" i="16"/>
  <c r="W36" i="16"/>
  <c r="W35" i="16"/>
  <c r="W34" i="16"/>
  <c r="W33" i="16"/>
  <c r="W32" i="16"/>
  <c r="W31" i="16"/>
  <c r="W30" i="16"/>
  <c r="W29" i="16"/>
  <c r="W32" i="9"/>
  <c r="W31" i="9"/>
  <c r="W30" i="9"/>
  <c r="W31" i="19"/>
  <c r="P17" i="15"/>
  <c r="P17" i="17"/>
  <c r="S18" i="18"/>
  <c r="P17" i="23"/>
  <c r="R19" i="23"/>
  <c r="S19" i="23" s="1"/>
  <c r="R18" i="23"/>
  <c r="S18" i="23" s="1"/>
  <c r="S17" i="23"/>
  <c r="R17" i="23"/>
  <c r="R19" i="22"/>
  <c r="S19" i="22" s="1"/>
  <c r="R18" i="22"/>
  <c r="S18" i="22" s="1"/>
  <c r="R17" i="22"/>
  <c r="P17" i="22"/>
  <c r="R19" i="21"/>
  <c r="S19" i="21" s="1"/>
  <c r="R18" i="21"/>
  <c r="S18" i="21" s="1"/>
  <c r="R17" i="21"/>
  <c r="S17" i="21" s="1"/>
  <c r="R19" i="20"/>
  <c r="S19" i="20" s="1"/>
  <c r="R18" i="20"/>
  <c r="S17" i="20" s="1"/>
  <c r="R17" i="20"/>
  <c r="P17" i="20"/>
  <c r="R23" i="19"/>
  <c r="R22" i="19"/>
  <c r="R21" i="19"/>
  <c r="R20" i="19"/>
  <c r="R19" i="19"/>
  <c r="R18" i="19"/>
  <c r="R17" i="19"/>
  <c r="R23" i="9"/>
  <c r="R21" i="9"/>
  <c r="R20" i="9"/>
  <c r="R19" i="9"/>
  <c r="R18" i="9"/>
  <c r="R17" i="9"/>
  <c r="R20" i="16"/>
  <c r="R19" i="18"/>
  <c r="R18" i="18"/>
  <c r="R17" i="18"/>
  <c r="S19" i="18" s="1"/>
  <c r="R19" i="17"/>
  <c r="S19" i="17" s="1"/>
  <c r="R18" i="17"/>
  <c r="S18" i="17" s="1"/>
  <c r="R17" i="17"/>
  <c r="S17" i="17" s="1"/>
  <c r="C5" i="23"/>
  <c r="C5" i="22"/>
  <c r="C5" i="21"/>
  <c r="C5" i="20"/>
  <c r="C5" i="19"/>
  <c r="C5" i="18"/>
  <c r="C5" i="9"/>
  <c r="C5" i="17"/>
  <c r="C5" i="16"/>
  <c r="C5" i="4"/>
  <c r="R23" i="16"/>
  <c r="R22" i="16"/>
  <c r="R21" i="16"/>
  <c r="R19" i="16"/>
  <c r="R18" i="16"/>
  <c r="R17" i="16"/>
  <c r="T5" i="23"/>
  <c r="U5" i="23"/>
  <c r="T6" i="23"/>
  <c r="U6" i="23"/>
  <c r="T7" i="23"/>
  <c r="U7" i="23"/>
  <c r="T8" i="23"/>
  <c r="U8" i="23"/>
  <c r="T9" i="23"/>
  <c r="U9" i="23"/>
  <c r="T10" i="23"/>
  <c r="U10" i="23"/>
  <c r="T11" i="23"/>
  <c r="U11" i="23"/>
  <c r="W11" i="23"/>
  <c r="T12" i="23"/>
  <c r="U12" i="23"/>
  <c r="T13" i="23"/>
  <c r="U13" i="23"/>
  <c r="T14" i="23"/>
  <c r="U14" i="23"/>
  <c r="T20" i="23"/>
  <c r="U20" i="23"/>
  <c r="T21" i="23"/>
  <c r="U21" i="23"/>
  <c r="T22" i="23"/>
  <c r="U22" i="23"/>
  <c r="T23" i="23"/>
  <c r="U23" i="23"/>
  <c r="W26" i="23"/>
  <c r="W34" i="9" l="1"/>
  <c r="P17" i="9"/>
  <c r="W35" i="9"/>
  <c r="W33" i="9"/>
  <c r="W36" i="9"/>
  <c r="W29" i="9"/>
  <c r="W7" i="23"/>
  <c r="W12" i="23"/>
  <c r="S20" i="9"/>
  <c r="S20" i="19"/>
  <c r="S21" i="19"/>
  <c r="S18" i="19"/>
  <c r="S19" i="19"/>
  <c r="S23" i="19"/>
  <c r="P17" i="16"/>
  <c r="S20" i="16"/>
  <c r="W28" i="23"/>
  <c r="W22" i="23"/>
  <c r="W9" i="23"/>
  <c r="W27" i="23"/>
  <c r="W14" i="23"/>
  <c r="W6" i="23"/>
  <c r="W33" i="23"/>
  <c r="W25" i="23"/>
  <c r="W21" i="23"/>
  <c r="W8" i="23"/>
  <c r="W32" i="23"/>
  <c r="W24" i="23"/>
  <c r="W13" i="23"/>
  <c r="W5" i="23"/>
  <c r="W31" i="23"/>
  <c r="W23" i="23"/>
  <c r="W10" i="23"/>
  <c r="W30" i="23"/>
  <c r="W20" i="23"/>
  <c r="S17" i="22"/>
  <c r="S18" i="20"/>
  <c r="S22" i="19"/>
  <c r="S17" i="19"/>
  <c r="S23" i="9"/>
  <c r="S19" i="9"/>
  <c r="S17" i="9"/>
  <c r="S22" i="9"/>
  <c r="S18" i="9"/>
  <c r="S21" i="9"/>
  <c r="S22" i="16"/>
  <c r="S17" i="16"/>
  <c r="S21" i="16"/>
  <c r="S19" i="16"/>
  <c r="S18" i="16"/>
  <c r="S17" i="18"/>
  <c r="S23" i="16"/>
  <c r="W35" i="23" l="1"/>
  <c r="D81" i="7"/>
  <c r="D80" i="7"/>
  <c r="R17" i="4" l="1"/>
  <c r="R19" i="4"/>
  <c r="R18" i="4"/>
  <c r="R18" i="15"/>
  <c r="R19" i="15"/>
  <c r="O19" i="15"/>
  <c r="O20" i="15"/>
  <c r="O18" i="15"/>
  <c r="R17" i="15"/>
  <c r="S17" i="4" l="1"/>
  <c r="S18" i="4"/>
  <c r="S19" i="4"/>
  <c r="S19" i="15"/>
  <c r="S18" i="15"/>
  <c r="S17" i="15"/>
  <c r="U23" i="22" l="1"/>
  <c r="T23" i="22"/>
  <c r="U22" i="22"/>
  <c r="T22" i="22"/>
  <c r="U21" i="22"/>
  <c r="T21" i="22"/>
  <c r="U20" i="22"/>
  <c r="T20" i="22"/>
  <c r="U23" i="21"/>
  <c r="T23" i="21"/>
  <c r="U22" i="21"/>
  <c r="T22" i="21"/>
  <c r="U21" i="21"/>
  <c r="T21" i="21"/>
  <c r="U20" i="21"/>
  <c r="T20" i="21"/>
  <c r="U23" i="20"/>
  <c r="T23" i="20"/>
  <c r="U22" i="20"/>
  <c r="T22" i="20"/>
  <c r="U21" i="20"/>
  <c r="T21" i="20"/>
  <c r="U20" i="20"/>
  <c r="T20" i="20"/>
  <c r="U28" i="19"/>
  <c r="T28" i="19"/>
  <c r="U27" i="19"/>
  <c r="T27" i="19"/>
  <c r="U26" i="19"/>
  <c r="T26" i="19"/>
  <c r="U25" i="19"/>
  <c r="T25" i="19"/>
  <c r="U24" i="19"/>
  <c r="T24" i="19"/>
  <c r="U23" i="18"/>
  <c r="T23" i="18"/>
  <c r="U22" i="18"/>
  <c r="T22" i="18"/>
  <c r="U21" i="18"/>
  <c r="T21" i="18"/>
  <c r="U20" i="18"/>
  <c r="T20" i="18"/>
  <c r="U23" i="17"/>
  <c r="T23" i="17"/>
  <c r="U22" i="17"/>
  <c r="T22" i="17"/>
  <c r="U21" i="17"/>
  <c r="T21" i="17"/>
  <c r="U20" i="17"/>
  <c r="T20" i="17"/>
  <c r="U28" i="16"/>
  <c r="T28" i="16"/>
  <c r="U27" i="16"/>
  <c r="T27" i="16"/>
  <c r="U26" i="16"/>
  <c r="T26" i="16"/>
  <c r="U25" i="16"/>
  <c r="T25" i="16"/>
  <c r="U24" i="16"/>
  <c r="T24" i="16"/>
  <c r="U23" i="4"/>
  <c r="T23" i="4"/>
  <c r="U22" i="4"/>
  <c r="T22" i="4"/>
  <c r="U21" i="4"/>
  <c r="T21" i="4"/>
  <c r="U20" i="4"/>
  <c r="T20" i="4"/>
  <c r="W23" i="15"/>
  <c r="U23" i="15"/>
  <c r="T23" i="15"/>
  <c r="W22" i="15"/>
  <c r="U22" i="15"/>
  <c r="T22" i="15"/>
  <c r="W21" i="15"/>
  <c r="U21" i="15"/>
  <c r="T21" i="15"/>
  <c r="W20" i="15"/>
  <c r="U20" i="15"/>
  <c r="T20" i="15"/>
  <c r="O33" i="15"/>
  <c r="O32" i="15"/>
  <c r="O31" i="15"/>
  <c r="O30" i="15"/>
  <c r="O29" i="15"/>
  <c r="O28" i="15"/>
  <c r="O27" i="15"/>
  <c r="O26" i="15"/>
  <c r="O25" i="15"/>
  <c r="O24" i="15"/>
  <c r="O23" i="15"/>
  <c r="O22" i="15"/>
  <c r="O21" i="15"/>
  <c r="O17" i="15"/>
  <c r="O6" i="15"/>
  <c r="O7" i="15"/>
  <c r="O8" i="15"/>
  <c r="O9" i="15"/>
  <c r="O10" i="15"/>
  <c r="O11" i="15"/>
  <c r="O12" i="15"/>
  <c r="O13" i="15"/>
  <c r="O14" i="15"/>
  <c r="O5" i="15"/>
  <c r="U28" i="9"/>
  <c r="T28" i="9"/>
  <c r="U27" i="9"/>
  <c r="T27" i="9"/>
  <c r="U26" i="9"/>
  <c r="T26" i="9"/>
  <c r="U25" i="9"/>
  <c r="T25" i="9"/>
  <c r="U24" i="9"/>
  <c r="T24" i="9"/>
  <c r="W23" i="21" l="1"/>
  <c r="W20" i="18"/>
  <c r="C3" i="24"/>
  <c r="J3" i="24" s="1"/>
  <c r="U14" i="22"/>
  <c r="T14" i="22"/>
  <c r="U13" i="22"/>
  <c r="T13" i="22"/>
  <c r="U12" i="22"/>
  <c r="T12" i="22"/>
  <c r="U11" i="22"/>
  <c r="T11" i="22"/>
  <c r="U10" i="22"/>
  <c r="T10" i="22"/>
  <c r="U9" i="22"/>
  <c r="T9" i="22"/>
  <c r="U8" i="22"/>
  <c r="T8" i="22"/>
  <c r="U7" i="22"/>
  <c r="T7" i="22"/>
  <c r="U6" i="22"/>
  <c r="T6" i="22"/>
  <c r="U5" i="22"/>
  <c r="T5" i="22"/>
  <c r="U14" i="21"/>
  <c r="T14" i="21"/>
  <c r="U13" i="21"/>
  <c r="T13" i="21"/>
  <c r="U12" i="21"/>
  <c r="T12" i="21"/>
  <c r="U11" i="21"/>
  <c r="T11" i="21"/>
  <c r="U10" i="21"/>
  <c r="T10" i="21"/>
  <c r="U9" i="21"/>
  <c r="T9" i="21"/>
  <c r="U8" i="21"/>
  <c r="T8" i="21"/>
  <c r="U7" i="21"/>
  <c r="T7" i="21"/>
  <c r="U6" i="21"/>
  <c r="T6" i="21"/>
  <c r="U5" i="21"/>
  <c r="T5" i="21"/>
  <c r="U14" i="20"/>
  <c r="T14" i="20"/>
  <c r="U13" i="20"/>
  <c r="T13" i="20"/>
  <c r="U12" i="20"/>
  <c r="T12" i="20"/>
  <c r="U11" i="20"/>
  <c r="T11" i="20"/>
  <c r="U10" i="20"/>
  <c r="T10" i="20"/>
  <c r="U9" i="20"/>
  <c r="T9" i="20"/>
  <c r="U8" i="20"/>
  <c r="T8" i="20"/>
  <c r="U7" i="20"/>
  <c r="T7" i="20"/>
  <c r="U6" i="20"/>
  <c r="T6" i="20"/>
  <c r="U5" i="20"/>
  <c r="T5" i="20"/>
  <c r="U14" i="19"/>
  <c r="T14" i="19"/>
  <c r="U13" i="19"/>
  <c r="T13" i="19"/>
  <c r="U12" i="19"/>
  <c r="T12" i="19"/>
  <c r="U11" i="19"/>
  <c r="T11" i="19"/>
  <c r="U10" i="19"/>
  <c r="T10" i="19"/>
  <c r="U9" i="19"/>
  <c r="T9" i="19"/>
  <c r="U8" i="19"/>
  <c r="T8" i="19"/>
  <c r="U7" i="19"/>
  <c r="T7" i="19"/>
  <c r="U6" i="19"/>
  <c r="T6" i="19"/>
  <c r="U5" i="19"/>
  <c r="T5" i="19"/>
  <c r="U14" i="18"/>
  <c r="T14" i="18"/>
  <c r="U13" i="18"/>
  <c r="T13" i="18"/>
  <c r="U12" i="18"/>
  <c r="T12" i="18"/>
  <c r="U11" i="18"/>
  <c r="T11" i="18"/>
  <c r="U10" i="18"/>
  <c r="T10" i="18"/>
  <c r="U9" i="18"/>
  <c r="T9" i="18"/>
  <c r="U8" i="18"/>
  <c r="T8" i="18"/>
  <c r="U7" i="18"/>
  <c r="T7" i="18"/>
  <c r="U6" i="18"/>
  <c r="T6" i="18"/>
  <c r="U5" i="18"/>
  <c r="T5" i="18"/>
  <c r="U14" i="9"/>
  <c r="T14" i="9"/>
  <c r="U13" i="9"/>
  <c r="T13" i="9"/>
  <c r="U12" i="9"/>
  <c r="T12" i="9"/>
  <c r="U11" i="9"/>
  <c r="T11" i="9"/>
  <c r="U10" i="9"/>
  <c r="T10" i="9"/>
  <c r="U9" i="9"/>
  <c r="T9" i="9"/>
  <c r="U8" i="9"/>
  <c r="T8" i="9"/>
  <c r="U7" i="9"/>
  <c r="T7" i="9"/>
  <c r="U6" i="9"/>
  <c r="T6" i="9"/>
  <c r="U5" i="9"/>
  <c r="T5" i="9"/>
  <c r="U14" i="17"/>
  <c r="T14" i="17"/>
  <c r="U13" i="17"/>
  <c r="T13" i="17"/>
  <c r="U12" i="17"/>
  <c r="T12" i="17"/>
  <c r="U11" i="17"/>
  <c r="T11" i="17"/>
  <c r="U10" i="17"/>
  <c r="T10" i="17"/>
  <c r="U9" i="17"/>
  <c r="T9" i="17"/>
  <c r="U8" i="17"/>
  <c r="T8" i="17"/>
  <c r="U7" i="17"/>
  <c r="T7" i="17"/>
  <c r="U6" i="17"/>
  <c r="T6" i="17"/>
  <c r="U5" i="17"/>
  <c r="T5" i="17"/>
  <c r="U14" i="15"/>
  <c r="T14" i="15"/>
  <c r="U13" i="15"/>
  <c r="T13" i="15"/>
  <c r="U12" i="15"/>
  <c r="T12" i="15"/>
  <c r="U11" i="15"/>
  <c r="T11" i="15"/>
  <c r="U10" i="15"/>
  <c r="T10" i="15"/>
  <c r="U9" i="15"/>
  <c r="T9" i="15"/>
  <c r="U8" i="15"/>
  <c r="T8" i="15"/>
  <c r="U7" i="15"/>
  <c r="T7" i="15"/>
  <c r="U6" i="15"/>
  <c r="T6" i="15"/>
  <c r="U14" i="4"/>
  <c r="T14" i="4"/>
  <c r="U13" i="4"/>
  <c r="T13" i="4"/>
  <c r="U12" i="4"/>
  <c r="T12" i="4"/>
  <c r="U11" i="4"/>
  <c r="T11" i="4"/>
  <c r="U10" i="4"/>
  <c r="T10" i="4"/>
  <c r="U9" i="4"/>
  <c r="T9" i="4"/>
  <c r="U8" i="4"/>
  <c r="T8" i="4"/>
  <c r="U7" i="4"/>
  <c r="T7" i="4"/>
  <c r="U6" i="4"/>
  <c r="T6" i="4"/>
  <c r="U5" i="4"/>
  <c r="T5" i="4"/>
  <c r="T6" i="16"/>
  <c r="U6" i="16"/>
  <c r="T7" i="16"/>
  <c r="U7" i="16"/>
  <c r="T8" i="16"/>
  <c r="U8" i="16"/>
  <c r="T9" i="16"/>
  <c r="U9" i="16"/>
  <c r="T10" i="16"/>
  <c r="U10" i="16"/>
  <c r="T11" i="16"/>
  <c r="U11" i="16"/>
  <c r="T12" i="16"/>
  <c r="U12" i="16"/>
  <c r="T13" i="16"/>
  <c r="U13" i="16"/>
  <c r="T14" i="16"/>
  <c r="U14" i="16"/>
  <c r="U5" i="16"/>
  <c r="T5" i="16"/>
  <c r="W28" i="16"/>
  <c r="W27" i="22"/>
  <c r="W26" i="21"/>
  <c r="W30" i="20"/>
  <c r="W20" i="20"/>
  <c r="W21" i="18"/>
  <c r="W26" i="9"/>
  <c r="W22" i="17"/>
  <c r="W14" i="4" l="1"/>
  <c r="W23" i="4"/>
  <c r="W21" i="17"/>
  <c r="W25" i="16"/>
  <c r="W26" i="16"/>
  <c r="W14" i="21"/>
  <c r="W20" i="4"/>
  <c r="W23" i="20"/>
  <c r="W25" i="19"/>
  <c r="W14" i="20"/>
  <c r="W22" i="20"/>
  <c r="W14" i="22"/>
  <c r="W21" i="22"/>
  <c r="D6" i="24"/>
  <c r="H6" i="24"/>
  <c r="W27" i="16"/>
  <c r="W21" i="4"/>
  <c r="W22" i="18"/>
  <c r="W21" i="20"/>
  <c r="W26" i="19"/>
  <c r="H13" i="24"/>
  <c r="W22" i="21"/>
  <c r="W24" i="9"/>
  <c r="W23" i="22"/>
  <c r="W25" i="9"/>
  <c r="W27" i="19"/>
  <c r="W27" i="9"/>
  <c r="W24" i="16"/>
  <c r="W28" i="19"/>
  <c r="W20" i="22"/>
  <c r="W28" i="9"/>
  <c r="W14" i="17"/>
  <c r="W23" i="18"/>
  <c r="W20" i="21"/>
  <c r="W22" i="22"/>
  <c r="W24" i="19"/>
  <c r="W21" i="21"/>
  <c r="W20" i="17"/>
  <c r="W22" i="4"/>
  <c r="W23" i="17"/>
  <c r="W14" i="19"/>
  <c r="W30" i="19"/>
  <c r="W14" i="18"/>
  <c r="W14" i="9"/>
  <c r="W5" i="16"/>
  <c r="W8" i="16"/>
  <c r="W26" i="18"/>
  <c r="W35" i="19"/>
  <c r="W26" i="20"/>
  <c r="W31" i="22"/>
  <c r="W12" i="16"/>
  <c r="W11" i="16"/>
  <c r="W7" i="16"/>
  <c r="W14" i="16"/>
  <c r="W10" i="16"/>
  <c r="W6" i="16"/>
  <c r="W38" i="16"/>
  <c r="W13" i="16"/>
  <c r="W9" i="16"/>
  <c r="D14" i="24"/>
  <c r="H14" i="24"/>
  <c r="W26" i="22"/>
  <c r="W30" i="22"/>
  <c r="W7" i="22"/>
  <c r="W11" i="22"/>
  <c r="D13" i="24"/>
  <c r="W12" i="22"/>
  <c r="W24" i="22"/>
  <c r="W28" i="22"/>
  <c r="W32" i="22"/>
  <c r="W8" i="22"/>
  <c r="W5" i="22"/>
  <c r="W9" i="22"/>
  <c r="W13" i="22"/>
  <c r="W25" i="22"/>
  <c r="W29" i="22"/>
  <c r="W33" i="22"/>
  <c r="W6" i="22"/>
  <c r="W10" i="22"/>
  <c r="W30" i="21"/>
  <c r="W7" i="21"/>
  <c r="W11" i="21"/>
  <c r="D12" i="24"/>
  <c r="H12" i="24"/>
  <c r="W27" i="21"/>
  <c r="W31" i="21"/>
  <c r="W8" i="21"/>
  <c r="W12" i="21"/>
  <c r="W24" i="21"/>
  <c r="W28" i="21"/>
  <c r="W32" i="21"/>
  <c r="W5" i="21"/>
  <c r="W9" i="21"/>
  <c r="W13" i="21"/>
  <c r="W25" i="21"/>
  <c r="W29" i="21"/>
  <c r="W33" i="21"/>
  <c r="W6" i="21"/>
  <c r="W10" i="21"/>
  <c r="H11" i="24"/>
  <c r="W27" i="20"/>
  <c r="W31" i="20"/>
  <c r="W8" i="20"/>
  <c r="W12" i="20"/>
  <c r="W24" i="20"/>
  <c r="W28" i="20"/>
  <c r="W32" i="20"/>
  <c r="D11" i="24"/>
  <c r="W5" i="20"/>
  <c r="W9" i="20"/>
  <c r="W13" i="20"/>
  <c r="W11" i="20"/>
  <c r="W25" i="20"/>
  <c r="W29" i="20"/>
  <c r="W33" i="20"/>
  <c r="W7" i="20"/>
  <c r="W6" i="20"/>
  <c r="W10" i="20"/>
  <c r="W7" i="19"/>
  <c r="W11" i="19"/>
  <c r="D10" i="24"/>
  <c r="H10" i="24"/>
  <c r="W32" i="19"/>
  <c r="W36" i="19"/>
  <c r="W8" i="19"/>
  <c r="W12" i="19"/>
  <c r="W33" i="19"/>
  <c r="W37" i="19"/>
  <c r="W5" i="19"/>
  <c r="W9" i="19"/>
  <c r="W13" i="19"/>
  <c r="W29" i="19"/>
  <c r="W34" i="19"/>
  <c r="W38" i="19"/>
  <c r="W6" i="19"/>
  <c r="W10" i="19"/>
  <c r="W30" i="18"/>
  <c r="W7" i="18"/>
  <c r="W11" i="18"/>
  <c r="D9" i="24"/>
  <c r="H9" i="24"/>
  <c r="W27" i="18"/>
  <c r="W31" i="18"/>
  <c r="W8" i="18"/>
  <c r="W12" i="18"/>
  <c r="W24" i="18"/>
  <c r="W28" i="18"/>
  <c r="W32" i="18"/>
  <c r="W5" i="18"/>
  <c r="W9" i="18"/>
  <c r="W13" i="18"/>
  <c r="W25" i="18"/>
  <c r="W29" i="18"/>
  <c r="W33" i="18"/>
  <c r="W6" i="18"/>
  <c r="W10" i="18"/>
  <c r="W7" i="9"/>
  <c r="W11" i="9"/>
  <c r="D8" i="24"/>
  <c r="H8" i="24"/>
  <c r="W8" i="9"/>
  <c r="W12" i="9"/>
  <c r="W5" i="9"/>
  <c r="W9" i="9"/>
  <c r="W13" i="9"/>
  <c r="W38" i="9"/>
  <c r="W6" i="9"/>
  <c r="W10" i="9"/>
  <c r="W7" i="17"/>
  <c r="D7" i="24"/>
  <c r="W31" i="17"/>
  <c r="W24" i="17"/>
  <c r="W28" i="17"/>
  <c r="W32" i="17"/>
  <c r="W11" i="17"/>
  <c r="H7" i="24"/>
  <c r="W8" i="17"/>
  <c r="W5" i="17"/>
  <c r="W9" i="17"/>
  <c r="W13" i="17"/>
  <c r="W26" i="17"/>
  <c r="W27" i="17"/>
  <c r="W25" i="17"/>
  <c r="W29" i="17"/>
  <c r="W33" i="17"/>
  <c r="W30" i="17"/>
  <c r="W12" i="17"/>
  <c r="W6" i="17"/>
  <c r="W10" i="17"/>
  <c r="W30" i="4"/>
  <c r="W7" i="4"/>
  <c r="W11" i="4"/>
  <c r="P17" i="4"/>
  <c r="D5" i="24" s="1"/>
  <c r="W26" i="4"/>
  <c r="H5" i="24"/>
  <c r="W27" i="4"/>
  <c r="W31" i="4"/>
  <c r="W8" i="4"/>
  <c r="W12" i="4"/>
  <c r="W24" i="4"/>
  <c r="W28" i="4"/>
  <c r="W32" i="4"/>
  <c r="W5" i="4"/>
  <c r="W9" i="4"/>
  <c r="W13" i="4"/>
  <c r="W25" i="4"/>
  <c r="W29" i="4"/>
  <c r="W33" i="4"/>
  <c r="W6" i="4"/>
  <c r="W10" i="4"/>
  <c r="W40" i="16" l="1"/>
  <c r="F6" i="24" s="1"/>
  <c r="F14" i="24"/>
  <c r="W35" i="22"/>
  <c r="F13" i="24" s="1"/>
  <c r="W35" i="21"/>
  <c r="F12" i="24" s="1"/>
  <c r="W35" i="20"/>
  <c r="F11" i="24" s="1"/>
  <c r="W40" i="19"/>
  <c r="F10" i="24" s="1"/>
  <c r="W35" i="18"/>
  <c r="F9" i="24" s="1"/>
  <c r="W40" i="9"/>
  <c r="F8" i="24" s="1"/>
  <c r="W35" i="17"/>
  <c r="F7" i="24" s="1"/>
  <c r="W35" i="4"/>
  <c r="F5" i="24" s="1"/>
  <c r="C18" i="28" l="1"/>
  <c r="C19" i="28"/>
  <c r="W31" i="15" l="1"/>
  <c r="W29" i="15"/>
  <c r="W32" i="15"/>
  <c r="W33" i="15"/>
  <c r="W30" i="15"/>
  <c r="D4" i="24"/>
  <c r="W9" i="15"/>
  <c r="W8" i="15"/>
  <c r="W10" i="15"/>
  <c r="W11" i="15"/>
  <c r="W24" i="15"/>
  <c r="W12" i="15"/>
  <c r="W25" i="15"/>
  <c r="W5" i="15"/>
  <c r="W13" i="15"/>
  <c r="W26" i="15"/>
  <c r="W6" i="15"/>
  <c r="W14" i="15"/>
  <c r="W27" i="15"/>
  <c r="W7" i="15"/>
  <c r="W28" i="15"/>
  <c r="W35" i="15" l="1"/>
  <c r="F4" i="24" s="1"/>
  <c r="G4" i="25"/>
  <c r="H4" i="25" s="1"/>
  <c r="I4" i="25" s="1"/>
  <c r="J4" i="25" s="1"/>
  <c r="K4" i="25" s="1"/>
  <c r="L4" i="25" s="1"/>
  <c r="M4" i="25" s="1"/>
  <c r="N4" i="25" s="1"/>
  <c r="O4" i="25" s="1"/>
  <c r="P4" i="25" s="1"/>
  <c r="Q4" i="25" s="1"/>
  <c r="R4" i="25" s="1"/>
  <c r="S4" i="25" s="1"/>
  <c r="T4" i="25" s="1"/>
  <c r="U4" i="25" s="1"/>
  <c r="V4" i="25" s="1"/>
  <c r="W4" i="25" s="1"/>
  <c r="X4" i="25" s="1"/>
  <c r="Y4" i="25" s="1"/>
  <c r="Z4" i="25" s="1"/>
  <c r="AA4" i="25" s="1"/>
  <c r="AB4" i="25" s="1"/>
  <c r="AC4" i="25" s="1"/>
  <c r="AD4" i="25" s="1"/>
  <c r="AE4" i="25" s="1"/>
  <c r="AF4" i="25" s="1"/>
  <c r="G15" i="25"/>
  <c r="H15" i="25" s="1"/>
  <c r="I15" i="25" s="1"/>
  <c r="J15" i="25" s="1"/>
  <c r="K15" i="25" s="1"/>
  <c r="L15" i="25" s="1"/>
  <c r="M15" i="25" s="1"/>
  <c r="N15" i="25" s="1"/>
  <c r="O15" i="25" s="1"/>
  <c r="P15" i="25" s="1"/>
  <c r="Q15" i="25" s="1"/>
  <c r="R15" i="25" s="1"/>
  <c r="S15" i="25" s="1"/>
  <c r="T15" i="25" s="1"/>
  <c r="U15" i="25" s="1"/>
  <c r="V15" i="25" s="1"/>
  <c r="W15" i="25" s="1"/>
  <c r="X15" i="25" s="1"/>
  <c r="Y15" i="25" s="1"/>
  <c r="Z15" i="25" s="1"/>
  <c r="AA15" i="25" s="1"/>
  <c r="AB15" i="25" s="1"/>
  <c r="AC15" i="25" s="1"/>
  <c r="AD15" i="25" s="1"/>
  <c r="AE15" i="25" s="1"/>
  <c r="AF15" i="25" s="1"/>
  <c r="B3" i="24" l="1"/>
  <c r="J16" i="24"/>
  <c r="E13" i="24" l="1"/>
  <c r="I14" i="24"/>
  <c r="I13" i="24" l="1"/>
  <c r="I12" i="24" s="1"/>
  <c r="I11" i="24" s="1"/>
  <c r="I10" i="24" s="1"/>
  <c r="I9" i="24" s="1"/>
  <c r="E12" i="24"/>
  <c r="H4" i="24"/>
  <c r="E11" i="24" l="1"/>
  <c r="E10" i="24" s="1"/>
  <c r="E9" i="24" s="1"/>
  <c r="E8" i="24" s="1"/>
  <c r="E7" i="24" s="1"/>
  <c r="E6" i="24" l="1"/>
  <c r="G7" i="24"/>
  <c r="I8" i="24"/>
  <c r="I7" i="24" l="1"/>
  <c r="I6" i="24" s="1"/>
  <c r="I5" i="24" s="1"/>
  <c r="I4" i="24" s="1"/>
  <c r="I3" i="24" s="1"/>
  <c r="E5" i="24"/>
  <c r="E4" i="24" s="1"/>
  <c r="G6" i="24"/>
  <c r="D15" i="24"/>
  <c r="C20" i="28" s="1"/>
  <c r="C17" i="28" s="1"/>
  <c r="G3" i="24" s="1"/>
  <c r="C45" i="7"/>
  <c r="C39" i="7"/>
  <c r="I38" i="7"/>
  <c r="H33" i="7"/>
  <c r="I33" i="7" s="1"/>
  <c r="G33" i="7"/>
  <c r="G38" i="7" s="1"/>
  <c r="F33" i="7"/>
  <c r="F38" i="7" s="1"/>
  <c r="E33" i="7"/>
  <c r="E38" i="7" s="1"/>
  <c r="D33" i="7"/>
  <c r="D36" i="7" s="1"/>
  <c r="F34" i="7" s="1"/>
  <c r="F27" i="7"/>
  <c r="D27" i="7"/>
  <c r="H26" i="7"/>
  <c r="F28" i="7" s="1"/>
  <c r="C26" i="7"/>
  <c r="H25" i="7"/>
  <c r="E28" i="7" s="1"/>
  <c r="D25" i="7"/>
  <c r="E24" i="7" s="1"/>
  <c r="H24" i="7"/>
  <c r="D28" i="7" s="1"/>
  <c r="C24" i="7"/>
  <c r="C28" i="7"/>
  <c r="E23" i="7"/>
  <c r="G18" i="7"/>
  <c r="F17" i="7"/>
  <c r="F18" i="7" s="1"/>
  <c r="E17" i="7"/>
  <c r="E18" i="7" s="1"/>
  <c r="D17" i="7"/>
  <c r="D18" i="7" s="1"/>
  <c r="C17" i="7"/>
  <c r="C18" i="7" s="1"/>
  <c r="H16" i="7"/>
  <c r="H15" i="7"/>
  <c r="D15" i="7"/>
  <c r="H14" i="7"/>
  <c r="H13" i="7"/>
  <c r="F13" i="7"/>
  <c r="C16" i="7" s="1"/>
  <c r="E13" i="7"/>
  <c r="C15" i="7" s="1"/>
  <c r="E8" i="7"/>
  <c r="G7" i="7"/>
  <c r="E7" i="7"/>
  <c r="C7" i="7"/>
  <c r="F6" i="7"/>
  <c r="D6" i="7"/>
  <c r="C6" i="7"/>
  <c r="G5" i="7"/>
  <c r="E5" i="7"/>
  <c r="C5" i="7"/>
  <c r="E4" i="7"/>
  <c r="J7" i="24" l="1"/>
  <c r="J6" i="24"/>
  <c r="G5" i="24"/>
  <c r="J5" i="24" s="1"/>
  <c r="E26" i="7"/>
  <c r="F25" i="7" s="1"/>
  <c r="E37" i="7"/>
  <c r="G35" i="7" s="1"/>
  <c r="H35" i="7"/>
  <c r="I35" i="7" s="1"/>
  <c r="E39" i="7"/>
  <c r="E16" i="7"/>
  <c r="D16" i="7"/>
  <c r="H36" i="7"/>
  <c r="I36" i="7" s="1"/>
  <c r="F39" i="7"/>
  <c r="H37" i="7"/>
  <c r="I37" i="7" s="1"/>
  <c r="G39" i="7"/>
  <c r="D26" i="7"/>
  <c r="F24" i="7" s="1"/>
  <c r="E36" i="7"/>
  <c r="F35" i="7" s="1"/>
  <c r="D37" i="7"/>
  <c r="G34" i="7" s="1"/>
  <c r="E27" i="7"/>
  <c r="D38" i="7"/>
  <c r="D35" i="7"/>
  <c r="E34" i="7" s="1"/>
  <c r="F37" i="7"/>
  <c r="G36" i="7" s="1"/>
  <c r="G4" i="24" l="1"/>
  <c r="J4" i="24" s="1"/>
  <c r="D39" i="7"/>
  <c r="H34" i="7"/>
  <c r="I34" i="7" s="1"/>
  <c r="G11" i="24" l="1"/>
  <c r="J11" i="24" s="1"/>
  <c r="G12" i="24"/>
  <c r="J12" i="24" s="1"/>
  <c r="G9" i="24"/>
  <c r="J9" i="24" s="1"/>
  <c r="G14" i="24"/>
  <c r="J14" i="24" s="1"/>
  <c r="G10" i="24"/>
  <c r="J10" i="24" s="1"/>
  <c r="G13" i="24"/>
  <c r="J13" i="24" s="1"/>
  <c r="G8" i="24" l="1"/>
  <c r="J15" i="24" l="1"/>
  <c r="J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Taylor</author>
  </authors>
  <commentList>
    <comment ref="B3" authorId="0" shapeId="0" xr:uid="{00000000-0006-0000-0200-000001000000}">
      <text>
        <r>
          <rPr>
            <b/>
            <sz val="9"/>
            <color indexed="81"/>
            <rFont val="Tahoma"/>
            <family val="2"/>
          </rPr>
          <t>AFF:</t>
        </r>
        <r>
          <rPr>
            <sz val="9"/>
            <color indexed="81"/>
            <rFont val="Tahoma"/>
            <family val="2"/>
          </rPr>
          <t xml:space="preserve">
multiply by the factor to get "From" "To"</t>
        </r>
      </text>
    </comment>
    <comment ref="B4" authorId="0" shapeId="0" xr:uid="{00000000-0006-0000-0200-000002000000}">
      <text>
        <r>
          <rPr>
            <b/>
            <sz val="9"/>
            <color indexed="81"/>
            <rFont val="Tahoma"/>
            <family val="2"/>
          </rPr>
          <t>AFF:</t>
        </r>
        <r>
          <rPr>
            <sz val="9"/>
            <color indexed="81"/>
            <rFont val="Tahoma"/>
            <family val="2"/>
          </rPr>
          <t xml:space="preserve">
1 Joule is the energy required to move 1 kg of mass through a distance of 1 meter with speed in meters per second increasing at the rate of 1 meter per second.</t>
        </r>
      </text>
    </comment>
    <comment ref="B7" authorId="0" shapeId="0" xr:uid="{00000000-0006-0000-0200-000003000000}">
      <text>
        <r>
          <rPr>
            <b/>
            <sz val="9"/>
            <color indexed="81"/>
            <rFont val="Tahoma"/>
            <family val="2"/>
          </rPr>
          <t>AFF:</t>
        </r>
        <r>
          <rPr>
            <sz val="9"/>
            <color indexed="81"/>
            <rFont val="Tahoma"/>
            <family val="2"/>
          </rPr>
          <t xml:space="preserve">
1 Btu or British thermal unit is the energy required to raise the temperature of a pound of water from 60 to 61 degrees Fahernheit. 1 Therm = 100,000 Btu</t>
        </r>
      </text>
    </comment>
    <comment ref="B12" authorId="0" shapeId="0" xr:uid="{00000000-0006-0000-0200-000005000000}">
      <text>
        <r>
          <rPr>
            <b/>
            <sz val="9"/>
            <color indexed="81"/>
            <rFont val="Tahoma"/>
            <family val="2"/>
          </rPr>
          <t>AFF:</t>
        </r>
        <r>
          <rPr>
            <sz val="9"/>
            <color indexed="81"/>
            <rFont val="Tahoma"/>
            <family val="2"/>
          </rPr>
          <t xml:space="preserve">
multiply by the factor to get "From" "To"</t>
        </r>
      </text>
    </comment>
    <comment ref="B22" authorId="0" shapeId="0" xr:uid="{A476FCD3-ACA8-4AE1-89FB-AF60374A0ABD}">
      <text>
        <r>
          <rPr>
            <b/>
            <sz val="9"/>
            <color indexed="81"/>
            <rFont val="Tahoma"/>
            <family val="2"/>
          </rPr>
          <t>AFF:</t>
        </r>
        <r>
          <rPr>
            <sz val="9"/>
            <color indexed="81"/>
            <rFont val="Tahoma"/>
            <family val="2"/>
          </rPr>
          <t xml:space="preserve">
multiply by the factor to get "From" "To"</t>
        </r>
      </text>
    </comment>
    <comment ref="B32" authorId="0" shapeId="0" xr:uid="{8F02DF6C-20BC-4E40-BFFA-F34C5F7E965A}">
      <text>
        <r>
          <rPr>
            <b/>
            <sz val="9"/>
            <color indexed="81"/>
            <rFont val="Tahoma"/>
            <family val="2"/>
          </rPr>
          <t>AFF:</t>
        </r>
        <r>
          <rPr>
            <sz val="9"/>
            <color indexed="81"/>
            <rFont val="Tahoma"/>
            <family val="2"/>
          </rPr>
          <t xml:space="preserve">
multiply by the factor to get "From" "To"</t>
        </r>
      </text>
    </comment>
    <comment ref="B43" authorId="0" shapeId="0" xr:uid="{FE66D394-F1E1-478E-9229-15569356A8B4}">
      <text>
        <r>
          <rPr>
            <b/>
            <sz val="9"/>
            <color indexed="81"/>
            <rFont val="Tahoma"/>
            <family val="2"/>
          </rPr>
          <t>AFF:</t>
        </r>
        <r>
          <rPr>
            <sz val="9"/>
            <color indexed="81"/>
            <rFont val="Tahoma"/>
            <family val="2"/>
          </rPr>
          <t xml:space="preserve">
multiply by the factor to get "From" "To"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C5FD3F8-2331-4032-80CC-805931E1199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A0D56710-E791-4410-871C-FB2B1D3F8BA6}">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E800499D-36E1-4AC0-B5C0-B0EF9F541344}">
      <text>
        <r>
          <rPr>
            <sz val="9"/>
            <color indexed="81"/>
            <rFont val="Tahoma"/>
            <family val="2"/>
          </rPr>
          <t>will be 0 for some inputs or outputs,  e.g. some chemicals will not have an LHV, or e.g. water</t>
        </r>
      </text>
    </comment>
    <comment ref="N2" authorId="2" shapeId="0" xr:uid="{8AB226E4-15DE-43FA-98C4-E62FC0C323C8}">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77CECEFF-6F77-48FF-9B8E-8A79EA4D076D}">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35602F84-5E03-40A9-B06F-DC1DBB083AEA}">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CDB8031-97E0-447C-8DFE-D2C649F976A8}">
      <text>
        <r>
          <rPr>
            <sz val="9"/>
            <color indexed="81"/>
            <rFont val="Tahoma"/>
            <family val="2"/>
          </rPr>
          <t>will be 0 for some inputs or outputs,  e.g. some chemicals will not have an LHV, or e.g. water</t>
        </r>
      </text>
    </comment>
    <comment ref="N2" authorId="2" shapeId="0" xr:uid="{4811D489-B818-480E-BA19-9D3E51AD85F2}">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46C04F79-A7A5-4F67-B0A4-AC5CEEE56A9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475FCA8E-9A81-4524-BC89-1FBA78B6A842}">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20C61B3-CC62-4D30-843D-4F29DD3BC25A}">
      <text>
        <r>
          <rPr>
            <sz val="9"/>
            <color indexed="81"/>
            <rFont val="Tahoma"/>
            <family val="2"/>
          </rPr>
          <t>will be 0 for some inputs or outputs,  e.g. some chemicals will not have an LHV, or e.g. water</t>
        </r>
      </text>
    </comment>
    <comment ref="N2" authorId="2" shapeId="0" xr:uid="{7CB2872E-FC08-4533-9264-787DBD2B8F4B}">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00000000-0006-0000-0700-00000100000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00000000-0006-0000-0700-000002000000}">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00000000-0006-0000-0700-000003000000}">
      <text>
        <r>
          <rPr>
            <sz val="9"/>
            <color indexed="81"/>
            <rFont val="Tahoma"/>
            <family val="2"/>
          </rPr>
          <t>will be 0 for some inputs or outputs,  e.g. some chemicals will not have an LHV, or e.g. water</t>
        </r>
      </text>
    </comment>
    <comment ref="N2" authorId="2" shapeId="0" xr:uid="{63B4014E-B842-42ED-A997-5D8FB5A352C4}">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98C38FCC-E5B0-4032-A426-B04C5413E87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A0DCE731-86A8-4A10-8577-6308CDD67286}">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96AA5676-F606-404F-9796-EF340D1E3A9E}">
      <text>
        <r>
          <rPr>
            <sz val="9"/>
            <color indexed="81"/>
            <rFont val="Tahoma"/>
            <family val="2"/>
          </rPr>
          <t>will be 0 for some inputs or outputs,  e.g. some chemicals will not have an LHV, or e.g. water</t>
        </r>
      </text>
    </comment>
    <comment ref="N2" authorId="2" shapeId="0" xr:uid="{7AD193F4-E089-48A6-8F81-749AA9792FB9}">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77B611B-3A26-4DCA-93D0-AB69A6F27A0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4DADAD41-FCD2-4C88-8F49-AA65BB70ECCC}">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B0694605-9703-4E37-8C49-E9FA972F9D5E}">
      <text>
        <r>
          <rPr>
            <sz val="9"/>
            <color indexed="81"/>
            <rFont val="Tahoma"/>
            <family val="2"/>
          </rPr>
          <t>will be 0 for some inputs or outputs,  e.g. some chemicals will not have an LHV, or e.g. water</t>
        </r>
      </text>
    </comment>
    <comment ref="N2" authorId="2" shapeId="0" xr:uid="{9DDB46DC-F9BD-41A8-A054-6733777157F1}">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0DAB6AA4-38F9-49DE-80D9-0D312E9BE2F3}">
      <text>
        <r>
          <rPr>
            <sz val="9"/>
            <color indexed="81"/>
            <rFont val="Tahoma"/>
            <family val="2"/>
          </rPr>
          <t>If the excess heat is exported for heating of buildings, at a temperature below 150°C, provide the value of 150°C here.</t>
        </r>
      </text>
    </comment>
    <comment ref="N23" authorId="2" shapeId="0" xr:uid="{A27003BA-AEAE-4A3F-B98B-6F26B65FC227}">
      <text>
        <r>
          <rPr>
            <sz val="9"/>
            <color indexed="81"/>
            <rFont val="Tahoma"/>
            <family val="2"/>
          </rPr>
          <t>If the excess heat is exported for heating of buildings, at a temperature below 150°C, provide the value of 150°C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D084BF53-2991-4192-A488-84B41A796AF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1D155759-A9CD-48F7-98F9-23D072DAB77C}">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427D1A2E-A316-4208-92CB-0452B43CC868}">
      <text>
        <r>
          <rPr>
            <sz val="9"/>
            <color indexed="81"/>
            <rFont val="Tahoma"/>
            <family val="2"/>
          </rPr>
          <t>will be 0 for some inputs or outputs,  e.g. some chemicals will not have an LHV, or e.g. water</t>
        </r>
      </text>
    </comment>
    <comment ref="N2" authorId="2" shapeId="0" xr:uid="{3F17BF99-C6C6-46A8-AB49-025AB7C807B9}">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5167259C-4D7F-47F9-B66C-AB6BE8574AD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EE26187E-F980-4E73-A82E-936AFB081B23}">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36C2FBBA-AFF9-46B9-8022-0F622FE7A7E4}">
      <text>
        <r>
          <rPr>
            <sz val="9"/>
            <color indexed="81"/>
            <rFont val="Tahoma"/>
            <family val="2"/>
          </rPr>
          <t>will be 0 for some inputs or outputs,  e.g. some chemicals will not have an LHV, or e.g. water</t>
        </r>
      </text>
    </comment>
    <comment ref="N2" authorId="2" shapeId="0" xr:uid="{927E4D56-6451-48D0-961B-D26152CD75F5}">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8DB8C02F-D630-45DF-8B6B-B9AECBCF3BAB}">
      <text>
        <r>
          <rPr>
            <sz val="9"/>
            <color indexed="81"/>
            <rFont val="Tahoma"/>
            <family val="2"/>
          </rPr>
          <t>If the excess heat is exported for heating of buildings, at a temperature below 150°C, provide the value of 150°C here.</t>
        </r>
      </text>
    </comment>
    <comment ref="N23" authorId="2" shapeId="0" xr:uid="{58B1B8C3-6F5C-42B9-8C6B-A60FE9035F7C}">
      <text>
        <r>
          <rPr>
            <sz val="9"/>
            <color indexed="81"/>
            <rFont val="Tahoma"/>
            <family val="2"/>
          </rPr>
          <t>If the excess heat is exported for heating of buildings, at a temperature below 150°C, provide the value of 150°C here.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4F5FCEF5-A5BA-4227-A2A4-63EC87D0E69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3C2B92EE-ECF8-4153-8D84-442DC00C03DF}">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602D1180-B95B-4A3E-9651-F827EE0312DF}">
      <text>
        <r>
          <rPr>
            <sz val="9"/>
            <color indexed="81"/>
            <rFont val="Tahoma"/>
            <family val="2"/>
          </rPr>
          <t>will be 0 for some inputs or outputs,  e.g. some chemicals will not have an LHV, or e.g. water</t>
        </r>
      </text>
    </comment>
    <comment ref="N2" authorId="2" shapeId="0" xr:uid="{FC22AA8A-F930-4FE7-9E8A-91B4060F1754}">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0649CE82-714C-4F7D-A656-8416140DAD4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FFCF4C97-3B53-4027-882F-1C15C3E0D379}">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7C906AB7-78B8-44C0-AA9A-A7AFA473EC9E}">
      <text>
        <r>
          <rPr>
            <sz val="9"/>
            <color indexed="81"/>
            <rFont val="Tahoma"/>
            <family val="2"/>
          </rPr>
          <t>will be 0 for some inputs or outputs,  e.g. some chemicals will not have an LHV, or e.g. water</t>
        </r>
      </text>
    </comment>
    <comment ref="N2" authorId="2" shapeId="0" xr:uid="{0E8B4AF1-651E-47DE-B2AD-DA8DCFBC87A5}">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 ref="N22" authorId="2" shapeId="0" xr:uid="{E38A84A2-14DB-42BD-92CE-A5840368BEA8}">
      <text>
        <r>
          <rPr>
            <sz val="9"/>
            <color indexed="81"/>
            <rFont val="Tahoma"/>
            <family val="2"/>
          </rPr>
          <t>If the excess heat is exported for heating of buildings, at a temperature below 150°C, provide the value of 150°C here.</t>
        </r>
      </text>
    </comment>
    <comment ref="N23" authorId="2" shapeId="0" xr:uid="{609CD0F4-8746-44F9-9E59-8022A4EE8710}">
      <text>
        <r>
          <rPr>
            <sz val="9"/>
            <color indexed="81"/>
            <rFont val="Tahoma"/>
            <family val="2"/>
          </rPr>
          <t>If the excess heat is exported for heating of buildings, at a temperature below 150°C, provide the value of 150°C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Richard Taylor</author>
  </authors>
  <commentList>
    <comment ref="H2" authorId="0" shapeId="0" xr:uid="{F15A4441-99A3-4917-8074-BA8BF83D3626}">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2" authorId="1" shapeId="0" xr:uid="{8D19E02C-177A-4F1C-91EF-F119585BC075}">
      <text>
        <r>
          <rPr>
            <sz val="9"/>
            <color indexed="81"/>
            <rFont val="Tahoma"/>
            <family val="2"/>
          </rPr>
          <t>Recycle loops are not included in the GHG calculations, as they are not inputs/outputs that cross the pathway boundary, nor do they enter/leave the boundary of the individual process step</t>
        </r>
      </text>
    </comment>
    <comment ref="J2" authorId="1" shapeId="0" xr:uid="{000FB17D-B6F1-4036-9813-5FD7A8D229C7}">
      <text>
        <r>
          <rPr>
            <sz val="9"/>
            <color indexed="81"/>
            <rFont val="Tahoma"/>
            <family val="2"/>
          </rPr>
          <t>will be 0 for some inputs or outputs,  e.g. some chemicals will not have an LHV, or e.g. water</t>
        </r>
      </text>
    </comment>
    <comment ref="N2" authorId="2" shapeId="0" xr:uid="{F7BE8DB9-1D9B-4A70-A401-7A70F577ABAF}">
      <text>
        <r>
          <rPr>
            <b/>
            <sz val="9"/>
            <color indexed="81"/>
            <rFont val="Tahoma"/>
            <family val="2"/>
          </rPr>
          <t>AFF:</t>
        </r>
        <r>
          <rPr>
            <sz val="9"/>
            <color indexed="81"/>
            <rFont val="Tahoma"/>
            <family val="2"/>
          </rPr>
          <t xml:space="preserve">
Only applicable for co-product heat or steam, used for Carnot efficiency calculation, for emission allocation calculations</t>
        </r>
      </text>
    </comment>
  </commentList>
</comments>
</file>

<file path=xl/sharedStrings.xml><?xml version="1.0" encoding="utf-8"?>
<sst xmlns="http://schemas.openxmlformats.org/spreadsheetml/2006/main" count="1615" uniqueCount="390">
  <si>
    <t>Contact details</t>
  </si>
  <si>
    <t>Please include "GHG Template Question" + the project name in the subject line of emails with questions regarding this template</t>
  </si>
  <si>
    <t>Sheet filled by bidder name</t>
  </si>
  <si>
    <t>Bidder email address</t>
  </si>
  <si>
    <t>Legend</t>
  </si>
  <si>
    <t>Cells require data input</t>
  </si>
  <si>
    <t>Calculation cells</t>
  </si>
  <si>
    <t>Cell does not require data input and is not a calculation</t>
  </si>
  <si>
    <t>Units</t>
  </si>
  <si>
    <t>Assumptions</t>
  </si>
  <si>
    <t>System boundary</t>
  </si>
  <si>
    <t>Summary</t>
  </si>
  <si>
    <t>Feedstock collection</t>
  </si>
  <si>
    <t>Feedstock transport</t>
  </si>
  <si>
    <t>Pre-processing</t>
  </si>
  <si>
    <t>Intermediate transport</t>
  </si>
  <si>
    <t>Conversion</t>
  </si>
  <si>
    <t>Further transport</t>
  </si>
  <si>
    <t>Fuel distribution 1</t>
  </si>
  <si>
    <t>Fuel storage</t>
  </si>
  <si>
    <t>Fuel distribution 2</t>
  </si>
  <si>
    <t>Energy conversion factors</t>
  </si>
  <si>
    <t>From                                         To</t>
  </si>
  <si>
    <t>TJ</t>
  </si>
  <si>
    <t>Gcal</t>
  </si>
  <si>
    <t>Mtoe</t>
  </si>
  <si>
    <t>Mbtu</t>
  </si>
  <si>
    <t>GWh</t>
  </si>
  <si>
    <t>Terajoule (TJ)</t>
  </si>
  <si>
    <t>GigaCalorie (Gcal)</t>
  </si>
  <si>
    <t>million tonne of oil equivalent (Mtoe)</t>
  </si>
  <si>
    <t>million British thermal unit (Mbtu)</t>
  </si>
  <si>
    <t>GigaWatt hour (GWh)</t>
  </si>
  <si>
    <t>Mass conversion factors</t>
  </si>
  <si>
    <t>kg</t>
  </si>
  <si>
    <t>te</t>
  </si>
  <si>
    <t>lt</t>
  </si>
  <si>
    <t>st</t>
  </si>
  <si>
    <t>lb</t>
  </si>
  <si>
    <t>oz</t>
  </si>
  <si>
    <t>kilogramme (kg)</t>
  </si>
  <si>
    <t>tonne (te)</t>
  </si>
  <si>
    <t>long ton (lt)</t>
  </si>
  <si>
    <t>short ton (st)</t>
  </si>
  <si>
    <t>pound (lb)</t>
  </si>
  <si>
    <t>ounce (oz)</t>
  </si>
  <si>
    <t>Volume conversion factors</t>
  </si>
  <si>
    <t>gal US</t>
  </si>
  <si>
    <t>gal UK</t>
  </si>
  <si>
    <t>bbl</t>
  </si>
  <si>
    <t>ft3</t>
  </si>
  <si>
    <t>l</t>
  </si>
  <si>
    <t>m3</t>
  </si>
  <si>
    <t>US gallon (gal)</t>
  </si>
  <si>
    <t>UK gallon (gal)</t>
  </si>
  <si>
    <t>barrel (bbl)</t>
  </si>
  <si>
    <t>litre (l)</t>
  </si>
  <si>
    <t>cubic metre (m3)</t>
  </si>
  <si>
    <t>Length conversion factors</t>
  </si>
  <si>
    <t>in</t>
  </si>
  <si>
    <t>ft</t>
  </si>
  <si>
    <t>yd</t>
  </si>
  <si>
    <t>mi</t>
  </si>
  <si>
    <t>nmi</t>
  </si>
  <si>
    <t>m</t>
  </si>
  <si>
    <t>km</t>
  </si>
  <si>
    <t>inch (in)</t>
  </si>
  <si>
    <t>foot (ft)</t>
  </si>
  <si>
    <t>yard (yd)</t>
  </si>
  <si>
    <t>mile (mi)</t>
  </si>
  <si>
    <t>nautical mile (nmi)</t>
  </si>
  <si>
    <t>metre (m)</t>
  </si>
  <si>
    <t>kilometre (km)</t>
  </si>
  <si>
    <t>Power conversion factors</t>
  </si>
  <si>
    <t>HP</t>
  </si>
  <si>
    <t>kW</t>
  </si>
  <si>
    <t>horsepower (HP) - mechanic</t>
  </si>
  <si>
    <t>kilowatts (kW)</t>
  </si>
  <si>
    <t>Metric Prefixes</t>
  </si>
  <si>
    <t>10^x</t>
  </si>
  <si>
    <t>Prefix</t>
  </si>
  <si>
    <t>Symbol</t>
  </si>
  <si>
    <t>10^24</t>
  </si>
  <si>
    <t>yotta</t>
  </si>
  <si>
    <t>Y</t>
  </si>
  <si>
    <t>10^21</t>
  </si>
  <si>
    <t>zetta</t>
  </si>
  <si>
    <t>Z</t>
  </si>
  <si>
    <t>10^18</t>
  </si>
  <si>
    <t>exa</t>
  </si>
  <si>
    <t>E</t>
  </si>
  <si>
    <t>10^15</t>
  </si>
  <si>
    <t>peta</t>
  </si>
  <si>
    <t>P</t>
  </si>
  <si>
    <t>10^12</t>
  </si>
  <si>
    <t>tera</t>
  </si>
  <si>
    <t>T</t>
  </si>
  <si>
    <t>10^9</t>
  </si>
  <si>
    <t>giga</t>
  </si>
  <si>
    <t>G</t>
  </si>
  <si>
    <t>10^6</t>
  </si>
  <si>
    <t>mega</t>
  </si>
  <si>
    <t>M</t>
  </si>
  <si>
    <t>10^3</t>
  </si>
  <si>
    <t>kilo</t>
  </si>
  <si>
    <t>k</t>
  </si>
  <si>
    <t>10^2</t>
  </si>
  <si>
    <t>hecto</t>
  </si>
  <si>
    <t>h</t>
  </si>
  <si>
    <t>10^1</t>
  </si>
  <si>
    <t>deka</t>
  </si>
  <si>
    <t>da</t>
  </si>
  <si>
    <t>10^-1</t>
  </si>
  <si>
    <t>deci</t>
  </si>
  <si>
    <t>d</t>
  </si>
  <si>
    <t>10^-2</t>
  </si>
  <si>
    <t>centi</t>
  </si>
  <si>
    <t>c</t>
  </si>
  <si>
    <t>10^-3</t>
  </si>
  <si>
    <t>milli</t>
  </si>
  <si>
    <t>10^-6</t>
  </si>
  <si>
    <t>micro</t>
  </si>
  <si>
    <t>10^-9</t>
  </si>
  <si>
    <t>nano</t>
  </si>
  <si>
    <t>n</t>
  </si>
  <si>
    <t>10^-12</t>
  </si>
  <si>
    <t>pico</t>
  </si>
  <si>
    <t>p</t>
  </si>
  <si>
    <t>10^-15</t>
  </si>
  <si>
    <t>femto</t>
  </si>
  <si>
    <t>f</t>
  </si>
  <si>
    <t>10^-18</t>
  </si>
  <si>
    <t>atto</t>
  </si>
  <si>
    <t>a</t>
  </si>
  <si>
    <t>10^-21</t>
  </si>
  <si>
    <t>zepto</t>
  </si>
  <si>
    <t>z</t>
  </si>
  <si>
    <t>10^-24</t>
  </si>
  <si>
    <t>yocto</t>
  </si>
  <si>
    <t>y</t>
  </si>
  <si>
    <t xml:space="preserve">Sources: </t>
  </si>
  <si>
    <t>http://wds.iea.org/wds/pdf/documentation_co2_2012.pdf</t>
  </si>
  <si>
    <t>http://www.exo.net/~pauld/physics/Metric_prefixes.html</t>
  </si>
  <si>
    <t>Global warming potentials</t>
  </si>
  <si>
    <t>Greenhouse gas</t>
  </si>
  <si>
    <t>tCO2e/t of gas</t>
  </si>
  <si>
    <t>CO</t>
  </si>
  <si>
    <t>CH4</t>
  </si>
  <si>
    <t>N2O</t>
  </si>
  <si>
    <t>Useful links, references</t>
  </si>
  <si>
    <t>https://www.gov.uk/government/publications/biofuels-carbon-calculator-rtfo</t>
  </si>
  <si>
    <t>JEC WTT v5</t>
  </si>
  <si>
    <t>https://ec.europa.eu/jrc/en/publication/eur-scientific-and-technical-research-reports/jec-well-tank-report-v5</t>
  </si>
  <si>
    <t>JRC updated input data for biofuel GHG default values</t>
  </si>
  <si>
    <t>http://www.biograce.net/home</t>
  </si>
  <si>
    <t>EcoInvent/ISCC database of GHG emissions</t>
  </si>
  <si>
    <t>Allocation of GHG emissions to main output of each module</t>
  </si>
  <si>
    <t>Cumulative backward chain allocation of GHG emissions</t>
  </si>
  <si>
    <t>Total chain</t>
  </si>
  <si>
    <t>Module total</t>
  </si>
  <si>
    <t>hr/yr</t>
  </si>
  <si>
    <t>Type of input/output</t>
  </si>
  <si>
    <t>Description of input/output</t>
  </si>
  <si>
    <t>Value</t>
  </si>
  <si>
    <t>Flow in from/out to:</t>
  </si>
  <si>
    <t>Reference for GHG intensity</t>
  </si>
  <si>
    <t>Comments &amp; questions</t>
  </si>
  <si>
    <t>Inputs</t>
  </si>
  <si>
    <t>Module main feedstock</t>
  </si>
  <si>
    <t>Yes</t>
  </si>
  <si>
    <t>Energy</t>
  </si>
  <si>
    <t>e.g. Electricity</t>
  </si>
  <si>
    <t>NA</t>
  </si>
  <si>
    <t>e.g. Diesel</t>
  </si>
  <si>
    <t>Outputs</t>
  </si>
  <si>
    <t>Module main output</t>
  </si>
  <si>
    <t>No</t>
  </si>
  <si>
    <t>Wastes</t>
  </si>
  <si>
    <t>e.g. Natural gas</t>
  </si>
  <si>
    <t>Co-products</t>
  </si>
  <si>
    <t>Residues</t>
  </si>
  <si>
    <t>e.g. Ash</t>
  </si>
  <si>
    <t>Chemicals</t>
  </si>
  <si>
    <t>e.g. Oxygen</t>
  </si>
  <si>
    <t>e.g. FT waxes</t>
  </si>
  <si>
    <t>Version control</t>
  </si>
  <si>
    <t>https://www.ipcc.ch/site/assets/uploads/2018/02/ar4-wg1-chapter2-1.pdf</t>
  </si>
  <si>
    <t>H2</t>
  </si>
  <si>
    <t>JRC updated data for solid/gaseous biogenic GHG default values</t>
  </si>
  <si>
    <t>https://web.archive.org/web/20190605065129/http://www.arb.ca.gov/fuels/lcfs/workgroups/lcfssustain/ISCC_EU_205_GHG_Calculation_and_GHG_Audit_2.3_eng.pdf</t>
  </si>
  <si>
    <t>https://iea.blob.core.windows.net/assets/deebef5d-0c34-4539-9d0c-10b13d840027/NetZeroby2050-ARoadmapfortheGlobalEnergySector_CORR.pdf</t>
  </si>
  <si>
    <t>Biofuel, RFNBO, nuclear or RCF consignment?</t>
  </si>
  <si>
    <t>https://www.gov.uk/government/publications/atmospheric-implications-of-increased-hydrogen-use</t>
  </si>
  <si>
    <t>GHG intensity of electricity consumed by UK industrial users</t>
  </si>
  <si>
    <t>UK Low Carbon Hydrogen Standard - data table annex</t>
  </si>
  <si>
    <t>https://assets.publishing.service.gov.uk/government/uploads/system/uploads/attachment_data/file/1067394/low-carbon-hydrogen-standard-guidance-data-tables.pdf</t>
  </si>
  <si>
    <t>0.45% methane loss suggested for gas distribution grid transport</t>
  </si>
  <si>
    <t>http://www.element-energy.co.uk/wordpress/wp-content/uploads/2021/08/Zemo-Low-Carbon-Hydrogen-WTT-Pathways-full-report.pdf</t>
  </si>
  <si>
    <t>Biograce II biomass electricity, heating, cooling calculator (RED II compliant)</t>
  </si>
  <si>
    <t>https://www.biograce.net/biograce2/</t>
  </si>
  <si>
    <t>Biograce I biofuels calculator (RED I compliant)</t>
  </si>
  <si>
    <t>The following links can provide useful data sources that may be relevant</t>
  </si>
  <si>
    <t>IEA Net Zero Emissions by 2050 scenario</t>
  </si>
  <si>
    <t>Please provide a schematic representation of your system boundary and supply chain for the fuel consignment(s) analysed in this Workbook</t>
  </si>
  <si>
    <t>Refuelling</t>
  </si>
  <si>
    <t>AFF@ricardo.com</t>
  </si>
  <si>
    <t>Advanced Fuels Fund threshold</t>
  </si>
  <si>
    <t>Demonstration or FOAK commercial project?</t>
  </si>
  <si>
    <t>Other relevant evidence</t>
  </si>
  <si>
    <t>Unit conversions that can be used throughout the workbook (additional conversions can be added if required)</t>
  </si>
  <si>
    <t>Please provide a schematic representation of your system boundary, for the chosen consignment</t>
  </si>
  <si>
    <t>Results tab showing module efficiencies, emissions, allocation between products and chain total GHG emissions (inc. fossil feedstock counterfactual emissions). Include with your application form</t>
  </si>
  <si>
    <t>Additional evidence</t>
  </si>
  <si>
    <t>RCF counterfactual</t>
  </si>
  <si>
    <t>Calculation of the counterfactual GHG emissions of diverting waste fossil feedstock away from its current use</t>
  </si>
  <si>
    <t>Workbook structure</t>
  </si>
  <si>
    <t>cubic feet (ft3)</t>
  </si>
  <si>
    <t>Maximum permitted GHG emissions for each fuel consignment under the Advanced Fuels Fund, UK grid electricity GHG emissions factor to be used, other useful reference sources</t>
  </si>
  <si>
    <t>Highlighted cell to match chosen year (cell input not required)</t>
  </si>
  <si>
    <t>If applicable, evidence of compliance with waste hierarchy</t>
  </si>
  <si>
    <t>If applicable, evidence that biomass feedstock likely to qualify as double-counting, sustainable residue or waste (and is not a segregated fat/oil)</t>
  </si>
  <si>
    <t>If applicable, evidence that biomass or RCF feedstock meets definition of a "waste"</t>
  </si>
  <si>
    <t>If applicable, evidence on compatibility of CO2 sourcing (for RNFBO and nuclear e-fuels)</t>
  </si>
  <si>
    <t>Disclaimer</t>
  </si>
  <si>
    <t>The onus is on the applicant to carefully check all the data they input and any suggested datasets referenced within the tool that they rely on within their calculations.</t>
  </si>
  <si>
    <t>Guidance</t>
  </si>
  <si>
    <t>Evidence for biomass feedstocks, wastes, CO2 sourcing, Low Carbon Hydrogen Standard, fossil hydrogen limit, CCU and CCS</t>
  </si>
  <si>
    <r>
      <t>Emissions from displaced energy use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 prior to allocation</t>
    </r>
  </si>
  <si>
    <t>Efficiency of feedstock conversion to RCF (%), calculated from the total chain efficiency</t>
  </si>
  <si>
    <r>
      <t>This worksheet calculates the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final fuel (prior to allocation), which will feed into the "Summary" tab (cell F3)</t>
    </r>
  </si>
  <si>
    <t>Recycled Carbon Fuels counterfactual emissions</t>
  </si>
  <si>
    <t>This worksheet should only be filled in if considering a recycled carbon fuel (RCF) consignment within this Excel workbook (as selected in the Guidance worksheet).</t>
  </si>
  <si>
    <r>
      <t>GHG emissions threshold is 31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for biofuels, RFNBO and nuclear energy derived fuels. See the "Assumptions" worksheet for the RCF threshold trajectory over time</t>
    </r>
  </si>
  <si>
    <t>Biofuel</t>
  </si>
  <si>
    <t>Renewable fuel of non-biological origin (RFNBO)</t>
  </si>
  <si>
    <t>Nuclear energy derived fuel</t>
  </si>
  <si>
    <t>Recycled carbon fuel (RCF)</t>
  </si>
  <si>
    <t>Efficiency of conversion in counterfactual use (%). 22% is assuming EfW power generation is the appropriate counterfactual for your feedstock. Change this value if using a different counterfactual</t>
  </si>
  <si>
    <t>e.g. Forestry residues</t>
  </si>
  <si>
    <t>e.g. Heating oil</t>
  </si>
  <si>
    <t>e.g. Chemicals</t>
  </si>
  <si>
    <t>e.g. Catalyst</t>
  </si>
  <si>
    <t xml:space="preserve">e.g. Water </t>
  </si>
  <si>
    <t>Materials</t>
  </si>
  <si>
    <t>tonnes/yr</t>
  </si>
  <si>
    <t>MWh/yr (LHV)</t>
  </si>
  <si>
    <r>
      <t>GHG intensity 
(gCO</t>
    </r>
    <r>
      <rPr>
        <b/>
        <vertAlign val="subscript"/>
        <sz val="11"/>
        <color rgb="FF000098"/>
        <rFont val="Calibri"/>
        <family val="2"/>
      </rPr>
      <t>2</t>
    </r>
    <r>
      <rPr>
        <b/>
        <sz val="11"/>
        <color rgb="FF000098"/>
        <rFont val="Calibri"/>
        <family val="2"/>
      </rPr>
      <t>e/kg of material) - for materials with kg/hr units</t>
    </r>
  </si>
  <si>
    <r>
      <t>GHG emissions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module main output), WITHOUT allocation</t>
    </r>
  </si>
  <si>
    <t>e.g. Forestry residue chips</t>
  </si>
  <si>
    <t>e.g. Co-product 1</t>
  </si>
  <si>
    <t>e.g. Co-product 2</t>
  </si>
  <si>
    <t>e.g. Wastewater</t>
  </si>
  <si>
    <t>e.g. Sulphur</t>
  </si>
  <si>
    <t>e.g. Methane emitted, net of any mitigation</t>
  </si>
  <si>
    <t>e.g. N2O emitted, net of any mitigation</t>
  </si>
  <si>
    <t>Zero up to point of collection for wastes/residues</t>
  </si>
  <si>
    <t>IPCC Fifth Assessment Report (AR5), GWP100 without carbon feedbacks</t>
  </si>
  <si>
    <t>Other characteristics</t>
  </si>
  <si>
    <t>Operating hours</t>
  </si>
  <si>
    <t>Full-load equivalents</t>
  </si>
  <si>
    <t>e.g. Spent catalysts</t>
  </si>
  <si>
    <t>Capture rate</t>
  </si>
  <si>
    <t>CCS capture rate</t>
  </si>
  <si>
    <t>%</t>
  </si>
  <si>
    <t>CO2 losses in T&amp;S</t>
  </si>
  <si>
    <t>CO2 lost during transmission and storage</t>
  </si>
  <si>
    <t>e.g. Jet fuel</t>
  </si>
  <si>
    <t>e.g. Forestry residue pellets</t>
  </si>
  <si>
    <t>e.g. Biogenic CO2 captured and sequestered</t>
  </si>
  <si>
    <t>e.g. Fossil CO2 captured and sequestered</t>
  </si>
  <si>
    <t>Fossil CO2 generated and emitted (no CO2 capture) is given a penalty of 1 tonne CO2e/tonne CO2</t>
  </si>
  <si>
    <t>Biogenic CO2 has nil GWP</t>
  </si>
  <si>
    <t>e.g. Naphtha</t>
  </si>
  <si>
    <t>e.g. Reject materials, losses</t>
  </si>
  <si>
    <t xml:space="preserve">An applicant achieving a satisfactory GHG emissions result within the template is not necessarily proof of compliance with the Advanced Fuels Fund’s GHG emissions eligibility criteria, nor with the UK's RTFO or SAF mandate. </t>
  </si>
  <si>
    <t>Only once a completed version of this workbook, accompanying workbooks for any other fuel consignments (where relevant) and all accompanying evidence have been subject to detailed review for validity and consistency (which will happen throughout the funding allocation process) will DfT be able to state whether a project is compliant with the GHG eligibility requirements of the Advanced Fuels Fund.</t>
  </si>
  <si>
    <t>Accounting for only the emissions in supplying this input. Record any GHGs released on use in outputs table below</t>
  </si>
  <si>
    <t>Project name</t>
  </si>
  <si>
    <t>Project location</t>
  </si>
  <si>
    <t>Conversion technology pathway</t>
  </si>
  <si>
    <t>Feedstock (in this workbook)</t>
  </si>
  <si>
    <t>Consignment, project, year and contact information, workbook legend, structure and disclaimer. Complete the initial questions at the top of this worksheet</t>
  </si>
  <si>
    <t>Include a copy of this table in your application form</t>
  </si>
  <si>
    <t>https://assets.publishing.service.gov.uk/government/uploads/system/uploads/attachment_data/file/1042782/rtfo-guidance-for-biomethane-including-as-a-chemical-precursor.pdf</t>
  </si>
  <si>
    <t>0.13% methane loss per 1000km suggested for NTS gas grid transport</t>
  </si>
  <si>
    <t xml:space="preserve"> </t>
  </si>
  <si>
    <r>
      <t xml:space="preserve">Supply chain module 
</t>
    </r>
    <r>
      <rPr>
        <sz val="11"/>
        <color rgb="FF000000"/>
        <rFont val="Calibri"/>
        <family val="2"/>
      </rPr>
      <t>(module &amp; tab names can be altered)</t>
    </r>
  </si>
  <si>
    <r>
      <t xml:space="preserve">Is the module used? 
</t>
    </r>
    <r>
      <rPr>
        <sz val="11"/>
        <color rgb="FF000000"/>
        <rFont val="Calibri"/>
        <family val="2"/>
      </rPr>
      <t>(to complete)</t>
    </r>
  </si>
  <si>
    <r>
      <t xml:space="preserve">GHG emissions from module, WITH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final fuel)</t>
    </r>
  </si>
  <si>
    <r>
      <t xml:space="preserve">GHG emissions from module, WITHOUT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final fuel)</t>
    </r>
  </si>
  <si>
    <r>
      <t xml:space="preserve">GHG emissions from module, WITHOUT allocation
</t>
    </r>
    <r>
      <rPr>
        <sz val="11"/>
        <color rgb="FF000000"/>
        <rFont val="Calibri"/>
        <family val="2"/>
      </rPr>
      <t>(gCO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module main output)</t>
    </r>
  </si>
  <si>
    <r>
      <t xml:space="preserve">Cumulative backward chain efficiency 
</t>
    </r>
    <r>
      <rPr>
        <sz val="11"/>
        <color rgb="FF000000"/>
        <rFont val="Calibri"/>
        <family val="2"/>
      </rPr>
      <t>(MJ</t>
    </r>
    <r>
      <rPr>
        <vertAlign val="subscript"/>
        <sz val="11"/>
        <color rgb="FF000000"/>
        <rFont val="Calibri"/>
        <family val="2"/>
      </rPr>
      <t>LHV</t>
    </r>
    <r>
      <rPr>
        <sz val="11"/>
        <color rgb="FF000000"/>
        <rFont val="Calibri"/>
        <family val="2"/>
      </rPr>
      <t xml:space="preserve"> module main output/MJ</t>
    </r>
    <r>
      <rPr>
        <vertAlign val="subscript"/>
        <sz val="11"/>
        <color rgb="FF000000"/>
        <rFont val="Calibri"/>
        <family val="2"/>
      </rPr>
      <t>LHV</t>
    </r>
    <r>
      <rPr>
        <sz val="11"/>
        <color rgb="FF000000"/>
        <rFont val="Calibri"/>
        <family val="2"/>
      </rPr>
      <t xml:space="preserve"> final fuel)</t>
    </r>
  </si>
  <si>
    <r>
      <t xml:space="preserve">Module efficiency </t>
    </r>
    <r>
      <rPr>
        <sz val="11"/>
        <color rgb="FF000000"/>
        <rFont val="Calibri"/>
        <family val="2"/>
      </rPr>
      <t>(MJ</t>
    </r>
    <r>
      <rPr>
        <vertAlign val="subscript"/>
        <sz val="11"/>
        <color rgb="FF000000"/>
        <rFont val="Calibri"/>
        <family val="2"/>
      </rPr>
      <t>LHV</t>
    </r>
    <r>
      <rPr>
        <sz val="11"/>
        <color rgb="FF000000"/>
        <rFont val="Calibri"/>
        <family val="2"/>
      </rPr>
      <t xml:space="preserve"> main output/ MJ</t>
    </r>
    <r>
      <rPr>
        <vertAlign val="subscript"/>
        <sz val="11"/>
        <color rgb="FF000000"/>
        <rFont val="Calibri"/>
        <family val="2"/>
      </rPr>
      <t>LHV</t>
    </r>
    <r>
      <rPr>
        <sz val="11"/>
        <color rgb="FF000000"/>
        <rFont val="Calibri"/>
        <family val="2"/>
      </rPr>
      <t xml:space="preserve"> main input)</t>
    </r>
  </si>
  <si>
    <t>https://publications.jrc.ec.europa.eu/repository/handle/JRC104759</t>
  </si>
  <si>
    <t>https://op.europa.eu/en/publication-detail/-/publication/7d6dd4ba-720a-11e9-9f05-01aa75ed71a1</t>
  </si>
  <si>
    <t>Evidence that avoided GHG emissions from industrial waste fossil gases are not already counted elsewhere (e.g. in an Emissions Trading Scheme), and that they have not been attributed to the final fuel</t>
  </si>
  <si>
    <t>Evidence that industrial waste fossil gases used in RCFs are not displacing heat generation. Or if heat is being displaced, state the efficiency of its generation and how much heat is being displaced, and its emissions factor (in what year), and feed this into the above calculations</t>
  </si>
  <si>
    <t>The emission factor for the displaced electricity in the counterfactual should be the latest published figures for a full reporting year for the average generation of that electricity in the country where the feedstock and fuel is produced.</t>
  </si>
  <si>
    <t>For industrial waste fossil gases, for the purposes of the AFF, the same default counterfactual should be considered, i.e. electricity generation (no heat sales, and no CCS) at 22% net electrical efficiency.</t>
  </si>
  <si>
    <t>However, an alternative counterfactual for industrial waste fossil gases could be considered at the production plant level if sufficient evidence is provided below.</t>
  </si>
  <si>
    <t>Evidence for any alternative counterfactual for industrial waste fossil gases - state clearly how the gas is used, what output product is being displaced, the efficiency of its generation and how much product is displaced, and its emissions factor (in what year), and feed this into the above calculations</t>
  </si>
  <si>
    <r>
      <t>Emission factor of the displaced energy in counterfactual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If UK grid power, use the factor in the Assumptions tab for the first full year of operations. If overseas power, use published projections for the relevant country and year. If another counterfactual applies, e.g. heat generation, input the emissions factor</t>
    </r>
  </si>
  <si>
    <t>The industrial facility generating the waste fossil gases also must demonstrate that they are not counting or claiming (e.g. under an Emissions Trading Scheme) a reduction in their GHG emissions from diverting gases to RCF production, and that these avoided GHG emissions have not been attributed to the final fuel.</t>
  </si>
  <si>
    <t>If applicable, evidence that hydrogen is likely to meet UK Low Carbon Hydrogen Standard in the first full year of operations</t>
  </si>
  <si>
    <t>If applicable, calculation of the amount of fossil-fuel derived hydrogen used compared to total fuels output (and compliance with 5% threshold in any year)</t>
  </si>
  <si>
    <t>Accounting for the emissions in disposing of this output</t>
  </si>
  <si>
    <t>Moisture content (kg water/kg as received)</t>
  </si>
  <si>
    <t>Reference for moisture content</t>
  </si>
  <si>
    <t>Further flow details (e.g. energy source, type, distance, temperature, pressure, purity)</t>
  </si>
  <si>
    <t>Upgrading to fuel</t>
  </si>
  <si>
    <t>UK Government conversion factors for Company Reporting. Year 2024</t>
  </si>
  <si>
    <t>https://www.gov.uk/government/publications/greenhouse-gas-reporting-conversion-factors-2024</t>
  </si>
  <si>
    <t>UK Low Carbon Hydrogen Standard - guidance and annexes</t>
  </si>
  <si>
    <t>https://www.gov.uk/government/publications/uk-low-carbon-hydrogen-standard-emissions-reporting-and-sustainability-criteria</t>
  </si>
  <si>
    <t>RED III text</t>
  </si>
  <si>
    <t>https://eur-lex.europa.eu/legal-content/EN/TXT/PDF/?uri=CELEX:02018L2001-20231120</t>
  </si>
  <si>
    <t>ReFuelEUAviation text</t>
  </si>
  <si>
    <t>RED implementing act</t>
  </si>
  <si>
    <t>https://eur-lex.europa.eu/legal-content/EN/TXT/PDF/?uri=CELEX:02022R0996-20231230</t>
  </si>
  <si>
    <t>https://data.consilium.europa.eu/doc/document/PE-29-2023-INIT/en/pdf</t>
  </si>
  <si>
    <t>Note that the RCF threshold trajectory above does not indicate a confirmed DfT policy position in relation to the RTFO or SAF mandate, as the RCF threshold is updated each year based on actual grid intensities achieved</t>
  </si>
  <si>
    <t>UK &amp; Ireland Carbon Calculator</t>
  </si>
  <si>
    <t>First full year of operations</t>
  </si>
  <si>
    <t>We have highlighted the value to use based on your input first full year in the Guidance worksheet.</t>
  </si>
  <si>
    <t>If applicable, evidence for CCU use and compliance with RTFO &amp; SAF Mandate Guidance requirements</t>
  </si>
  <si>
    <t>If applicable, evidence for CCS use and compliance with RTFO &amp; SAF Mandate Guidance requirements</t>
  </si>
  <si>
    <t>Following the RTFO &amp; SAF Mandate Guidance, DfT include emissions arising from the diversion of RCF feedstocks from their existing counterfactual use within the total RCF emissions calculation.</t>
  </si>
  <si>
    <t>For the fossil fraction of RDF, the current counterfactual use is set as Energy-from-Waste combustion with electricity generation (no heat sales, and no CCS), at 22% net electrical efficiency.</t>
  </si>
  <si>
    <t>For the purposes of the AFF, the grid electricity intensity trajectory in the Assumptions worksheet shall be used.</t>
  </si>
  <si>
    <t>Suppliers of RCFs produced from industrial waste fossil gases must demonstrate that heat generation is not displaced by the production of RCFs. If heat is displaced, then the counterfactual use will need to be set as heat generation, and the calculations below will need adjusted.</t>
  </si>
  <si>
    <r>
      <t>Module efficiency (MJ</t>
    </r>
    <r>
      <rPr>
        <b/>
        <vertAlign val="subscript"/>
        <sz val="11"/>
        <color rgb="FF000098"/>
        <rFont val="Calibri"/>
        <family val="2"/>
      </rPr>
      <t>LHV wet</t>
    </r>
    <r>
      <rPr>
        <b/>
        <sz val="11"/>
        <color rgb="FF000098"/>
        <rFont val="Calibri"/>
        <family val="2"/>
      </rPr>
      <t xml:space="preserve"> module main output/MJ</t>
    </r>
    <r>
      <rPr>
        <b/>
        <vertAlign val="subscript"/>
        <sz val="11"/>
        <color rgb="FF000098"/>
        <rFont val="Calibri"/>
        <family val="2"/>
      </rPr>
      <t>LHV wet</t>
    </r>
    <r>
      <rPr>
        <b/>
        <sz val="11"/>
        <color rgb="FF000098"/>
        <rFont val="Calibri"/>
        <family val="2"/>
      </rPr>
      <t xml:space="preserve"> module main input)</t>
    </r>
  </si>
  <si>
    <r>
      <t>Energy allocation (MJ</t>
    </r>
    <r>
      <rPr>
        <b/>
        <vertAlign val="subscript"/>
        <sz val="11"/>
        <color rgb="FF000098"/>
        <rFont val="Calibri"/>
        <family val="2"/>
      </rPr>
      <t>LHV allocation</t>
    </r>
    <r>
      <rPr>
        <b/>
        <sz val="11"/>
        <color rgb="FF000098"/>
        <rFont val="Calibri"/>
        <family val="2"/>
      </rPr>
      <t xml:space="preserve"> main product/MJ</t>
    </r>
    <r>
      <rPr>
        <b/>
        <vertAlign val="subscript"/>
        <sz val="11"/>
        <color rgb="FF000098"/>
        <rFont val="Calibri"/>
        <family val="2"/>
      </rPr>
      <t>LHV allocation</t>
    </r>
    <r>
      <rPr>
        <b/>
        <sz val="11"/>
        <color rgb="FF000098"/>
        <rFont val="Calibri"/>
        <family val="2"/>
      </rPr>
      <t xml:space="preserve"> all module products)</t>
    </r>
  </si>
  <si>
    <r>
      <t>Equivalent energy flow (MWh/yr LHV</t>
    </r>
    <r>
      <rPr>
        <b/>
        <vertAlign val="subscript"/>
        <sz val="11"/>
        <color rgb="FF000098"/>
        <rFont val="Calibri"/>
        <family val="2"/>
      </rPr>
      <t>wet</t>
    </r>
    <r>
      <rPr>
        <b/>
        <sz val="11"/>
        <color rgb="FF000098"/>
        <rFont val="Calibri"/>
        <family val="2"/>
      </rPr>
      <t>)</t>
    </r>
  </si>
  <si>
    <r>
      <t>Lower heating value [LHV] (MJ/kg</t>
    </r>
    <r>
      <rPr>
        <b/>
        <vertAlign val="subscript"/>
        <sz val="11"/>
        <color rgb="FF000098"/>
        <rFont val="Calibri"/>
        <family val="2"/>
      </rPr>
      <t>dry</t>
    </r>
    <r>
      <rPr>
        <b/>
        <sz val="11"/>
        <color rgb="FF000098"/>
        <rFont val="Calibri"/>
        <family val="2"/>
      </rPr>
      <t>)</t>
    </r>
  </si>
  <si>
    <r>
      <t>Reference for LHV</t>
    </r>
    <r>
      <rPr>
        <b/>
        <vertAlign val="subscript"/>
        <sz val="11"/>
        <color rgb="FF000098"/>
        <rFont val="Calibri"/>
        <family val="2"/>
      </rPr>
      <t>dry</t>
    </r>
  </si>
  <si>
    <r>
      <t>GHG intensity 
(gCO</t>
    </r>
    <r>
      <rPr>
        <b/>
        <vertAlign val="subscript"/>
        <sz val="11"/>
        <color rgb="FF000098"/>
        <rFont val="Calibri"/>
        <family val="2"/>
      </rPr>
      <t>2</t>
    </r>
    <r>
      <rPr>
        <b/>
        <sz val="11"/>
        <color rgb="FF000098"/>
        <rFont val="Calibri"/>
        <family val="2"/>
      </rPr>
      <t>e/MJ</t>
    </r>
    <r>
      <rPr>
        <b/>
        <vertAlign val="subscript"/>
        <sz val="11"/>
        <color rgb="FF000098"/>
        <rFont val="Calibri"/>
        <family val="2"/>
      </rPr>
      <t>LHV wet</t>
    </r>
    <r>
      <rPr>
        <b/>
        <sz val="11"/>
        <color rgb="FF000098"/>
        <rFont val="Calibri"/>
        <family val="2"/>
      </rPr>
      <t xml:space="preserve"> of energy) - for materials with MWh/yr (LHV) units</t>
    </r>
  </si>
  <si>
    <r>
      <t>Co-product heat/steam temperature (</t>
    </r>
    <r>
      <rPr>
        <b/>
        <sz val="11"/>
        <color rgb="FF000098"/>
        <rFont val="Aptos Narrow"/>
        <family val="2"/>
      </rPr>
      <t>°</t>
    </r>
    <r>
      <rPr>
        <b/>
        <sz val="11"/>
        <color rgb="FF000098"/>
        <rFont val="Calibri"/>
        <family val="2"/>
      </rPr>
      <t>C)</t>
    </r>
  </si>
  <si>
    <t>Enter data here</t>
  </si>
  <si>
    <t>Enter enthalpy</t>
  </si>
  <si>
    <t>Co-product heat</t>
  </si>
  <si>
    <t>Co-product steam</t>
  </si>
  <si>
    <r>
      <t>Grid electricity GHG intensity (gCO</t>
    </r>
    <r>
      <rPr>
        <vertAlign val="subscript"/>
        <sz val="11"/>
        <color rgb="FF000000"/>
        <rFont val="Calibri"/>
        <family val="2"/>
      </rPr>
      <t>2</t>
    </r>
    <r>
      <rPr>
        <sz val="11"/>
        <color rgb="FF000000"/>
        <rFont val="Calibri"/>
        <family val="2"/>
      </rPr>
      <t>e/MJ</t>
    </r>
    <r>
      <rPr>
        <vertAlign val="subscript"/>
        <sz val="11"/>
        <color rgb="FF000000"/>
        <rFont val="Calibri"/>
        <family val="2"/>
      </rPr>
      <t>e</t>
    </r>
    <r>
      <rPr>
        <sz val="11"/>
        <color rgb="FF000000"/>
        <rFont val="Calibri"/>
        <family val="2"/>
      </rPr>
      <t>)</t>
    </r>
  </si>
  <si>
    <t>ERM, Ricardo and DfT take no responsibility for any user errors or inconsistent datasets being used.</t>
  </si>
  <si>
    <t>Please note that this trajectory is supplied from DESNZ forecasts, based off the National Grid FES Holistic Scenario (including BECCS), and actual grid factors will differ from these projections. Grid mix projections for Northern Ireland were not available, so this National Grid GB grid dataset should be used for all UK projects.</t>
  </si>
  <si>
    <t>These values include upstream &amp; generation emissions for GB generation and imports, as well as downstream T&amp;D losses. A floor value of zero (from 2035) has been taken for the purposes of the AFF, to align with other UK Government policies.</t>
  </si>
  <si>
    <t>Compliance with the RTFO &amp; SAF Mandate Guidance during operations will rely on using actual grid factors (that apply this full scope of emissions) from "relevant competent authorities". Note current National Grid and EirGrid live reporting of GB and NI grid intensities do NOT include upstream emissions.</t>
  </si>
  <si>
    <t>https://www.gov.uk/government/publications/saf-mandate-compliance</t>
  </si>
  <si>
    <t>https://www.gov.uk/government/publications/rtfo-compliance</t>
  </si>
  <si>
    <t>RTFO Compliance guidance</t>
  </si>
  <si>
    <t>SAF Mandate Compliance guidance</t>
  </si>
  <si>
    <t>RTFO and SAF Mandate technical guidance</t>
  </si>
  <si>
    <t>https://www.gov.uk/government/publications/rtfo-and-saf-mandate-technical-information</t>
  </si>
  <si>
    <r>
      <t>E</t>
    </r>
    <r>
      <rPr>
        <vertAlign val="subscript"/>
        <sz val="11"/>
        <color rgb="FF000000"/>
        <rFont val="Calibri"/>
        <family val="2"/>
      </rPr>
      <t>disp</t>
    </r>
  </si>
  <si>
    <r>
      <t>Ef</t>
    </r>
    <r>
      <rPr>
        <vertAlign val="subscript"/>
        <sz val="11"/>
        <color rgb="FF000000"/>
        <rFont val="Calibri"/>
        <family val="2"/>
      </rPr>
      <t>e</t>
    </r>
  </si>
  <si>
    <r>
      <t>E</t>
    </r>
    <r>
      <rPr>
        <vertAlign val="subscript"/>
        <sz val="11"/>
        <color rgb="FF000000"/>
        <rFont val="Calibri"/>
        <family val="2"/>
      </rPr>
      <t>e</t>
    </r>
  </si>
  <si>
    <r>
      <t>Ef</t>
    </r>
    <r>
      <rPr>
        <vertAlign val="subscript"/>
        <sz val="11"/>
        <color rgb="FF000000"/>
        <rFont val="Calibri"/>
        <family val="2"/>
      </rPr>
      <t>RCF</t>
    </r>
  </si>
  <si>
    <t>e.g. Co-product heat exported</t>
  </si>
  <si>
    <t>e.g. Co-product steam exported</t>
  </si>
  <si>
    <t>Source / evidence (e.g. reports, contracts, delivery notes, lab tests, model)</t>
  </si>
  <si>
    <t>Does the flow cross the GHG assessment boundary?</t>
  </si>
  <si>
    <r>
      <t>Equivalent energy flow for allocation (MWh/yr LHV</t>
    </r>
    <r>
      <rPr>
        <b/>
        <vertAlign val="subscript"/>
        <sz val="11"/>
        <color rgb="FF000098"/>
        <rFont val="Calibri"/>
        <family val="2"/>
      </rPr>
      <t>allocation</t>
    </r>
    <r>
      <rPr>
        <b/>
        <sz val="11"/>
        <color rgb="FF000098"/>
        <rFont val="Calibri"/>
        <family val="2"/>
      </rPr>
      <t>)</t>
    </r>
  </si>
  <si>
    <t>Co-product electricity</t>
  </si>
  <si>
    <t>e.g. Co-product electricity exported</t>
  </si>
  <si>
    <t>(Unlikely to be any arising from this step)</t>
  </si>
  <si>
    <t>e.g. Fuel gas exported</t>
  </si>
  <si>
    <t>Fossil CO2 utilised is not given a credit under RCF rules</t>
  </si>
  <si>
    <t>e.g. Fossil CO2 captured and utilised</t>
  </si>
  <si>
    <t>Fossil feedstock CO2 generated and emitted (no CO2 capture) is given a penalty of 0 tonne CO2e/tonne CO2, under RCF rules, due to assumed emission to atmosphere in the counterfactual</t>
  </si>
  <si>
    <t>e.g. Biogenic CO2 emitted (e.g. some biogenic off-gases burnt onsite for heating)</t>
  </si>
  <si>
    <t>e.g. Fossil feedstock CO2 emitted (e.g. combustion of fossil fraction of feedstock)</t>
  </si>
  <si>
    <t>e.g. Fossil non-feedstock CO2 emitted (e.g. combustion of diesel, nat gas)</t>
  </si>
  <si>
    <t>Fossil non-feedstock CO2 generated and emitted (no CO2 capture) is given a penalty of 1 tonne CO2e/tonne CO2 under RCF rules</t>
  </si>
  <si>
    <t>Biogenic CO2 sequestered is given a credit of up to 1 tonne CO2e/tonne CO2, but any emissions for capture, processing and transport of that CO2 (including any fugitive emissions/leakage) need subtracted to derive the net emissions avoided</t>
  </si>
  <si>
    <t>Net CO2 sequestered</t>
  </si>
  <si>
    <t>Net CO2 utilised</t>
  </si>
  <si>
    <t>CO2 emitted</t>
  </si>
  <si>
    <t>Fugitive non-CO2 emitted</t>
  </si>
  <si>
    <t>Fossil CO2 sequestered is given a credit of up to 1 tonne CO2e/tonne CO2, under RCF rules, but any emissions for capture, processing and transport of that CO2 (including any fugitive emissions/leakage) need subtracted to derive the net emissions avoided</t>
  </si>
  <si>
    <t>e.g. Biogenic CO2 captured and utilised (replacing fossil-derived CO2 in commercial applications)</t>
  </si>
  <si>
    <t>Biogenic CO2 utilised (meeting evidence requirements) is given a credit of up to 1 tonne CO2e/tonne CO2, but any emissions for capture, processing and transport of that CO2 (including any fugitive emissions/leakage) need subtracted to derive the net emissions avoided</t>
  </si>
  <si>
    <t>e.g. Fossil CO2 emitted onsite from use of inputs</t>
  </si>
  <si>
    <t xml:space="preserve"> DfT Advanced Fuels Fund (Window 3)</t>
  </si>
  <si>
    <t xml:space="preserve">If your plant is proposing to start full operations in e.g. August 2028, your first full calendar year of operations is 2029. You should therefore use the 2029 grid factor above for any consumption of UK grid electricity. </t>
  </si>
  <si>
    <t>First full calendar year of operations for your proposed plant</t>
  </si>
  <si>
    <r>
      <t>Maximum permissible GHG emissions intensity of a fuel consignment (gCO</t>
    </r>
    <r>
      <rPr>
        <b/>
        <vertAlign val="subscript"/>
        <sz val="11"/>
        <color rgb="FF000000"/>
        <rFont val="Calibri"/>
        <family val="2"/>
      </rPr>
      <t>2</t>
    </r>
    <r>
      <rPr>
        <b/>
        <sz val="11"/>
        <color rgb="FF000000"/>
        <rFont val="Calibri"/>
        <family val="2"/>
      </rPr>
      <t>e/MJ</t>
    </r>
    <r>
      <rPr>
        <b/>
        <vertAlign val="subscript"/>
        <sz val="11"/>
        <color rgb="FF000000"/>
        <rFont val="Calibri"/>
        <family val="2"/>
      </rPr>
      <t>LHV</t>
    </r>
    <r>
      <rPr>
        <b/>
        <sz val="11"/>
        <color rgb="FF000000"/>
        <rFont val="Calibri"/>
        <family val="2"/>
      </rPr>
      <t>)</t>
    </r>
  </si>
  <si>
    <r>
      <t xml:space="preserve">GHG emissions calculation template - Appendix H - Demonstration plant </t>
    </r>
    <r>
      <rPr>
        <b/>
        <sz val="16"/>
        <color rgb="FFFF0000"/>
        <rFont val="Calibri"/>
        <family val="2"/>
      </rPr>
      <t>(only if applicable)</t>
    </r>
  </si>
  <si>
    <t>Demonstration project</t>
  </si>
  <si>
    <t>Complete each of the applicable chain component worksheet, ensuring that all inputs and outputs for each process are captured. In each worksheet, a set of example inputs and outputs are provided. This should not be considered an exhaustive list, and some of the examples may not apply to your process, so red text should be deleted or adapted as appropriate.
The input and output values should be reported in tonnes/yr or MWh/yr. If you are converting from tonnes/hr or MW, please provide the assumed operating hours at the bottom of the worksheet. 
If a worksheet is not required, set the relevant row in column C in the Summary tab to "No", and this will keep the worksheet result as 100% efficiency, 100% allocation with no added GHG emissions (i.e. no impact).
The number of workbooks required will depend on (a) the technology readiness level of the plant and (b) whether multiple/mixed feedstocks are used: 
(a) For those applying for funding for a FOAK commercial plant, just complete 1 workbook for that plant. For those applying for funding for a demo plant, complete 2 separate Excel workbooks, one for the demo plant and one for a future commercial-sized plant (detailing and evidencing reasonable levels of process integration and optimisation, any changes in feedstock or major changes from the demo plant).
(b) Please complete separate Excel workbooks for each feedstock used. If your feedstock is a mix of biogenic and fossil fractions, complete separate Excel workbooks for the renewable and non-renewable consignments (using the different biofuel and RCF GHG methodologies), splitting project tonnages across the two workbooks (noting input/output LHVs and conversion efficiencies can remain the same).</t>
  </si>
  <si>
    <t>v1.2</t>
  </si>
  <si>
    <t>Updated version for AFF window 3, correction to column O formulae in supply chain worksheets to include moisture content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</si>
</sst>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3" formatCode="_-* #,##0.00_-;\-* #,##0.00_-;_-* &quot;-&quot;??_-;_-@_-"/>
    <numFmt numFmtId="164" formatCode="0.0000"/>
    <numFmt numFmtId="165" formatCode="dd\-mmm\-yyyy"/>
    <numFmt numFmtId="166" formatCode="0.000000"/>
    <numFmt numFmtId="167" formatCode="#,##0.0000"/>
    <numFmt numFmtId="168" formatCode="#,##0.0000000"/>
    <numFmt numFmtId="169" formatCode="0.00000"/>
    <numFmt numFmtId="170" formatCode="0.000"/>
    <numFmt numFmtId="171" formatCode="#,##0.000"/>
    <numFmt numFmtId="172" formatCode="0.0000000"/>
    <numFmt numFmtId="173" formatCode="#,##0.0"/>
    <numFmt numFmtId="174" formatCode="0.0"/>
    <numFmt numFmtId="175" formatCode="#,##0.00000"/>
    <numFmt numFmtId="176" formatCode="dd\ mmm\ yyyy"/>
    <numFmt numFmtId="177" formatCode="0.0%"/>
  </numFmts>
  <fonts count="52">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0" tint="-0.499984740745262"/>
      <name val="Calibri"/>
      <family val="2"/>
    </font>
    <font>
      <sz val="8"/>
      <color theme="0" tint="-0.499984740745262"/>
      <name val="Calibri"/>
      <family val="2"/>
    </font>
    <font>
      <b/>
      <sz val="11"/>
      <color theme="0"/>
      <name val="Calibri"/>
      <family val="2"/>
    </font>
    <font>
      <sz val="11"/>
      <color rgb="FF000098"/>
      <name val="Calibri"/>
      <family val="2"/>
    </font>
    <font>
      <b/>
      <sz val="11"/>
      <color rgb="FF000098"/>
      <name val="Calibri"/>
      <family val="2"/>
    </font>
    <font>
      <b/>
      <sz val="11"/>
      <color theme="7" tint="-0.499984740745262"/>
      <name val="Calibri"/>
      <family val="2"/>
    </font>
    <font>
      <sz val="11"/>
      <color theme="7" tint="-0.499984740745262"/>
      <name val="Calibri"/>
      <family val="2"/>
    </font>
    <font>
      <sz val="11"/>
      <color rgb="FF000000"/>
      <name val="Calibri"/>
      <family val="2"/>
    </font>
    <font>
      <sz val="10"/>
      <name val="Arial"/>
      <family val="2"/>
    </font>
    <font>
      <b/>
      <sz val="11"/>
      <color rgb="FF000000"/>
      <name val="Calibri"/>
      <family val="2"/>
    </font>
    <font>
      <sz val="11"/>
      <color indexed="8"/>
      <name val="Calibri"/>
      <family val="2"/>
    </font>
    <font>
      <sz val="10"/>
      <name val="Arial Cyr"/>
    </font>
    <font>
      <sz val="11"/>
      <color rgb="FF000000"/>
      <name val="Calibri"/>
      <family val="2"/>
      <scheme val="minor"/>
    </font>
    <font>
      <b/>
      <sz val="11"/>
      <color indexed="8"/>
      <name val="Calibri"/>
      <family val="2"/>
      <scheme val="minor"/>
    </font>
    <font>
      <sz val="11"/>
      <color indexed="8"/>
      <name val="Calibri"/>
      <family val="2"/>
      <scheme val="minor"/>
    </font>
    <font>
      <b/>
      <sz val="11"/>
      <name val="Calibri"/>
      <family val="2"/>
      <scheme val="minor"/>
    </font>
    <font>
      <sz val="11"/>
      <name val="Calibri"/>
      <family val="2"/>
      <scheme val="minor"/>
    </font>
    <font>
      <sz val="10"/>
      <name val="Calibri"/>
      <family val="2"/>
      <scheme val="minor"/>
    </font>
    <font>
      <b/>
      <sz val="9"/>
      <color indexed="81"/>
      <name val="Tahoma"/>
      <family val="2"/>
    </font>
    <font>
      <sz val="9"/>
      <color indexed="81"/>
      <name val="Tahoma"/>
      <family val="2"/>
    </font>
    <font>
      <b/>
      <sz val="11"/>
      <name val="Calibri"/>
      <family val="2"/>
    </font>
    <font>
      <sz val="11"/>
      <color rgb="FFFF0000"/>
      <name val="Calibri"/>
      <family val="2"/>
    </font>
    <font>
      <sz val="12"/>
      <color rgb="FF000000"/>
      <name val="Calibri"/>
      <family val="2"/>
    </font>
    <font>
      <u/>
      <sz val="11"/>
      <color rgb="FF000000"/>
      <name val="Calibri"/>
      <family val="2"/>
    </font>
    <font>
      <u/>
      <sz val="11"/>
      <color theme="10"/>
      <name val="Calibri"/>
      <family val="2"/>
    </font>
    <font>
      <b/>
      <sz val="11"/>
      <color indexed="8"/>
      <name val="Calibri"/>
      <family val="2"/>
    </font>
    <font>
      <sz val="11"/>
      <color theme="10"/>
      <name val="Calibri"/>
      <family val="2"/>
    </font>
    <font>
      <b/>
      <sz val="11"/>
      <color theme="10"/>
      <name val="Calibri"/>
      <family val="2"/>
    </font>
    <font>
      <b/>
      <sz val="18"/>
      <color theme="3"/>
      <name val="Calibri"/>
      <family val="2"/>
      <scheme val="major"/>
    </font>
    <font>
      <sz val="11"/>
      <color theme="1"/>
      <name val="Arial"/>
      <family val="2"/>
    </font>
    <font>
      <sz val="11"/>
      <color indexed="9"/>
      <name val="Calibri"/>
      <family val="2"/>
    </font>
    <font>
      <sz val="10"/>
      <color rgb="FF000000"/>
      <name val="Arial"/>
      <family val="2"/>
    </font>
    <font>
      <sz val="11"/>
      <color theme="1"/>
      <name val="Times New Roman"/>
      <family val="2"/>
    </font>
    <font>
      <b/>
      <sz val="11"/>
      <color theme="1"/>
      <name val="Calibri"/>
      <family val="2"/>
      <scheme val="minor"/>
    </font>
    <font>
      <i/>
      <sz val="11"/>
      <color rgb="FF000000"/>
      <name val="Calibri"/>
      <family val="2"/>
    </font>
    <font>
      <sz val="11"/>
      <color rgb="FF001D4F"/>
      <name val="Calibri"/>
      <family val="2"/>
    </font>
    <font>
      <i/>
      <sz val="10"/>
      <color rgb="FF000000"/>
      <name val="Calibri"/>
      <family val="2"/>
    </font>
    <font>
      <b/>
      <vertAlign val="subscript"/>
      <sz val="11"/>
      <color rgb="FF000000"/>
      <name val="Calibri"/>
      <family val="2"/>
    </font>
    <font>
      <vertAlign val="subscript"/>
      <sz val="11"/>
      <color rgb="FF000000"/>
      <name val="Calibri"/>
      <family val="2"/>
    </font>
    <font>
      <b/>
      <sz val="11"/>
      <color theme="0" tint="-0.34998626667073579"/>
      <name val="Calibri"/>
      <family val="2"/>
      <scheme val="minor"/>
    </font>
    <font>
      <u/>
      <sz val="11"/>
      <name val="Calibri"/>
      <family val="2"/>
    </font>
    <font>
      <b/>
      <vertAlign val="subscript"/>
      <sz val="11"/>
      <color rgb="FF000098"/>
      <name val="Calibri"/>
      <family val="2"/>
    </font>
    <font>
      <b/>
      <sz val="11"/>
      <color rgb="FFFF0000"/>
      <name val="Calibri"/>
      <family val="2"/>
    </font>
    <font>
      <b/>
      <sz val="16"/>
      <color rgb="FF000000"/>
      <name val="Calibri"/>
      <family val="2"/>
    </font>
    <font>
      <b/>
      <sz val="11"/>
      <color rgb="FF000098"/>
      <name val="Aptos Narrow"/>
      <family val="2"/>
    </font>
    <font>
      <b/>
      <u/>
      <sz val="16"/>
      <color rgb="FF000000"/>
      <name val="Calibri"/>
      <family val="2"/>
    </font>
    <font>
      <b/>
      <sz val="16"/>
      <color rgb="FFFF0000"/>
      <name val="Calibri"/>
      <family val="2"/>
    </font>
  </fonts>
  <fills count="17">
    <fill>
      <patternFill patternType="none"/>
    </fill>
    <fill>
      <patternFill patternType="gray125"/>
    </fill>
    <fill>
      <patternFill patternType="solid">
        <fgColor rgb="FF1B429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6" tint="0.39994506668294322"/>
        <bgColor indexed="64"/>
      </patternFill>
    </fill>
    <fill>
      <patternFill patternType="solid">
        <fgColor theme="9" tint="0.59996337778862885"/>
        <bgColor indexed="64"/>
      </patternFill>
    </fill>
    <fill>
      <patternFill patternType="solid">
        <fgColor indexed="9"/>
        <bgColor indexed="64"/>
      </patternFill>
    </fill>
    <fill>
      <patternFill patternType="solid">
        <fgColor theme="0"/>
        <bgColor indexed="64"/>
      </patternFill>
    </fill>
    <fill>
      <patternFill patternType="solid">
        <fgColor theme="7" tint="0.79998168889431442"/>
        <bgColor indexed="64"/>
      </patternFill>
    </fill>
    <fill>
      <patternFill patternType="solid">
        <fgColor indexed="30"/>
      </patternFill>
    </fill>
    <fill>
      <patternFill patternType="solid">
        <fgColor theme="8" tint="0.39994506668294322"/>
        <bgColor indexed="64"/>
      </patternFill>
    </fill>
    <fill>
      <patternFill patternType="solid">
        <fgColor theme="2" tint="-9.9948118533890809E-2"/>
        <bgColor indexed="64"/>
      </patternFill>
    </fill>
    <fill>
      <patternFill patternType="solid">
        <fgColor theme="5" tint="0.79998168889431442"/>
        <bgColor indexed="64"/>
      </patternFill>
    </fill>
    <fill>
      <patternFill patternType="solid">
        <fgColor rgb="FFFFC000"/>
        <bgColor indexed="64"/>
      </patternFill>
    </fill>
  </fills>
  <borders count="20">
    <border>
      <left/>
      <right/>
      <top/>
      <bottom/>
      <diagonal/>
    </border>
    <border>
      <left/>
      <right/>
      <top/>
      <bottom style="thick">
        <color rgb="FF6AB0E0"/>
      </bottom>
      <diagonal/>
    </border>
    <border>
      <left/>
      <right/>
      <top/>
      <bottom style="medium">
        <color rgb="FF6AB0E0"/>
      </bottom>
      <diagonal/>
    </border>
    <border>
      <left/>
      <right/>
      <top/>
      <bottom style="medium">
        <color theme="7" tint="-0.499984740745262"/>
      </bottom>
      <diagonal/>
    </border>
    <border>
      <left/>
      <right/>
      <top/>
      <bottom style="thin">
        <color theme="7" tint="-0.499984740745262"/>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67">
    <xf numFmtId="0" fontId="0" fillId="0" borderId="0"/>
    <xf numFmtId="3" fontId="4" fillId="5" borderId="0" applyNumberFormat="0" applyBorder="0"/>
    <xf numFmtId="3" fontId="4" fillId="4" borderId="0" applyNumberFormat="0" applyBorder="0">
      <protection locked="0"/>
    </xf>
    <xf numFmtId="3" fontId="4" fillId="3" borderId="0" applyNumberFormat="0" applyBorder="0"/>
    <xf numFmtId="0" fontId="7" fillId="2" borderId="1"/>
    <xf numFmtId="0" fontId="9" fillId="0" borderId="1"/>
    <xf numFmtId="0" fontId="11" fillId="6" borderId="4"/>
    <xf numFmtId="0" fontId="5" fillId="0" borderId="0"/>
    <xf numFmtId="0" fontId="6" fillId="0" borderId="0"/>
    <xf numFmtId="0" fontId="10" fillId="0" borderId="3"/>
    <xf numFmtId="0" fontId="8" fillId="0" borderId="2"/>
    <xf numFmtId="3" fontId="4" fillId="7" borderId="0" applyNumberFormat="0" applyBorder="0"/>
    <xf numFmtId="0" fontId="4" fillId="8" borderId="0" applyNumberFormat="0" applyBorder="0">
      <protection locked="0"/>
    </xf>
    <xf numFmtId="0" fontId="3" fillId="0" borderId="0"/>
    <xf numFmtId="0" fontId="13" fillId="0" borderId="0"/>
    <xf numFmtId="0" fontId="12" fillId="0" borderId="0"/>
    <xf numFmtId="43" fontId="12" fillId="0" borderId="0" applyFont="0" applyFill="0" applyBorder="0" applyAlignment="0" applyProtection="0"/>
    <xf numFmtId="0" fontId="12" fillId="0" borderId="0"/>
    <xf numFmtId="0" fontId="15" fillId="0" borderId="0"/>
    <xf numFmtId="0" fontId="16" fillId="0" borderId="0"/>
    <xf numFmtId="43" fontId="3" fillId="0" borderId="0" applyFont="0" applyFill="0" applyBorder="0" applyAlignment="0" applyProtection="0"/>
    <xf numFmtId="0" fontId="4" fillId="8" borderId="0" applyBorder="0">
      <protection locked="0"/>
    </xf>
    <xf numFmtId="43" fontId="12" fillId="0" borderId="0" applyFont="0" applyFill="0" applyBorder="0" applyAlignment="0" applyProtection="0"/>
    <xf numFmtId="9" fontId="12" fillId="0" borderId="0" applyFont="0" applyFill="0" applyBorder="0" applyAlignment="0" applyProtection="0"/>
    <xf numFmtId="0" fontId="2" fillId="0" borderId="0"/>
    <xf numFmtId="9" fontId="2" fillId="0" borderId="0" applyFont="0" applyFill="0" applyBorder="0" applyAlignment="0" applyProtection="0"/>
    <xf numFmtId="0" fontId="29" fillId="0" borderId="0" applyNumberFormat="0" applyFill="0" applyBorder="0" applyAlignment="0" applyProtection="0"/>
    <xf numFmtId="0" fontId="13" fillId="0" borderId="0"/>
    <xf numFmtId="0" fontId="34" fillId="0" borderId="0"/>
    <xf numFmtId="0" fontId="13" fillId="0" borderId="0"/>
    <xf numFmtId="0" fontId="34" fillId="0" borderId="0"/>
    <xf numFmtId="0" fontId="35" fillId="12" borderId="0" applyNumberFormat="0" applyBorder="0" applyAlignment="0" applyProtection="0"/>
    <xf numFmtId="43" fontId="1" fillId="0" borderId="0" applyFont="0" applyFill="0" applyBorder="0" applyAlignment="0" applyProtection="0"/>
    <xf numFmtId="0" fontId="22" fillId="13" borderId="0" applyNumberFormat="0" applyBorder="0" applyAlignment="0" applyProtection="0"/>
    <xf numFmtId="0" fontId="13"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21" fillId="0" borderId="0"/>
    <xf numFmtId="0" fontId="13" fillId="0" borderId="0"/>
    <xf numFmtId="0" fontId="13" fillId="0" borderId="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0" fontId="22" fillId="14" borderId="0" applyBorder="0" applyAlignment="0" applyProtection="0"/>
    <xf numFmtId="0" fontId="33" fillId="0" borderId="0" applyNumberFormat="0" applyFill="0" applyBorder="0" applyAlignment="0" applyProtection="0"/>
  </cellStyleXfs>
  <cellXfs count="200">
    <xf numFmtId="0" fontId="0" fillId="0" borderId="0" xfId="0"/>
    <xf numFmtId="0" fontId="3" fillId="0" borderId="0" xfId="13"/>
    <xf numFmtId="0" fontId="9" fillId="0" borderId="1" xfId="5" applyAlignment="1">
      <alignment wrapText="1"/>
    </xf>
    <xf numFmtId="0" fontId="12" fillId="0" borderId="0" xfId="17"/>
    <xf numFmtId="0" fontId="12" fillId="0" borderId="0" xfId="17" applyAlignment="1">
      <alignment wrapText="1"/>
    </xf>
    <xf numFmtId="0" fontId="12" fillId="10" borderId="0" xfId="17" applyFill="1"/>
    <xf numFmtId="0" fontId="14" fillId="0" borderId="0" xfId="17" applyFont="1"/>
    <xf numFmtId="0" fontId="9" fillId="10" borderId="1" xfId="5" applyFill="1" applyAlignment="1">
      <alignment wrapText="1"/>
    </xf>
    <xf numFmtId="0" fontId="4" fillId="4" borderId="5" xfId="2" applyNumberFormat="1" applyBorder="1" applyAlignment="1">
      <alignment vertical="center"/>
      <protection locked="0"/>
    </xf>
    <xf numFmtId="0" fontId="25" fillId="4" borderId="5" xfId="2" applyNumberFormat="1" applyFont="1" applyBorder="1" applyAlignment="1">
      <alignment vertical="center"/>
      <protection locked="0"/>
    </xf>
    <xf numFmtId="0" fontId="4" fillId="0" borderId="0" xfId="17" applyFont="1"/>
    <xf numFmtId="43" fontId="4" fillId="10" borderId="0" xfId="20" applyFont="1" applyFill="1"/>
    <xf numFmtId="0" fontId="4" fillId="0" borderId="0" xfId="17" applyFont="1" applyAlignment="1">
      <alignment wrapText="1"/>
    </xf>
    <xf numFmtId="43" fontId="4" fillId="4" borderId="5" xfId="22" applyFont="1" applyFill="1" applyBorder="1" applyAlignment="1" applyProtection="1">
      <alignment vertical="center"/>
      <protection locked="0"/>
    </xf>
    <xf numFmtId="43" fontId="4" fillId="0" borderId="0" xfId="22" applyFont="1" applyAlignment="1">
      <alignment wrapText="1"/>
    </xf>
    <xf numFmtId="43" fontId="4" fillId="0" borderId="0" xfId="22" applyFont="1" applyAlignment="1">
      <alignment vertical="center" wrapText="1"/>
    </xf>
    <xf numFmtId="43" fontId="26" fillId="4" borderId="5" xfId="22" applyFont="1" applyFill="1" applyBorder="1" applyAlignment="1" applyProtection="1">
      <alignment vertical="center"/>
      <protection locked="0"/>
    </xf>
    <xf numFmtId="43" fontId="25" fillId="4" borderId="5" xfId="22" applyFont="1" applyFill="1" applyBorder="1" applyAlignment="1" applyProtection="1">
      <alignment vertical="center"/>
      <protection locked="0"/>
    </xf>
    <xf numFmtId="43" fontId="12" fillId="0" borderId="0" xfId="22" applyFont="1"/>
    <xf numFmtId="0" fontId="14" fillId="0" borderId="0" xfId="0" applyFont="1" applyAlignment="1">
      <alignment vertical="top"/>
    </xf>
    <xf numFmtId="0" fontId="27" fillId="0" borderId="0" xfId="0" applyFont="1" applyAlignment="1">
      <alignment horizontal="left" vertical="top" wrapText="1"/>
    </xf>
    <xf numFmtId="0" fontId="27" fillId="0" borderId="0" xfId="0" applyFont="1" applyAlignment="1">
      <alignment vertical="top"/>
    </xf>
    <xf numFmtId="0" fontId="28" fillId="0" borderId="0" xfId="0" applyFont="1"/>
    <xf numFmtId="176" fontId="0" fillId="0" borderId="0" xfId="0" quotePrefix="1" applyNumberFormat="1" applyAlignment="1">
      <alignment horizontal="left"/>
    </xf>
    <xf numFmtId="0" fontId="14" fillId="0" borderId="0" xfId="0" applyFont="1"/>
    <xf numFmtId="0" fontId="29" fillId="0" borderId="0" xfId="26"/>
    <xf numFmtId="0" fontId="0" fillId="0" borderId="6" xfId="0" applyBorder="1"/>
    <xf numFmtId="0" fontId="25" fillId="4" borderId="6" xfId="2" applyNumberFormat="1" applyFont="1" applyBorder="1" applyAlignment="1">
      <alignment vertical="center"/>
      <protection locked="0"/>
    </xf>
    <xf numFmtId="9" fontId="25" fillId="0" borderId="6" xfId="0" applyNumberFormat="1" applyFont="1" applyBorder="1" applyAlignment="1">
      <alignment horizontal="center"/>
    </xf>
    <xf numFmtId="4" fontId="30" fillId="0" borderId="0" xfId="17" applyNumberFormat="1" applyFont="1" applyAlignment="1">
      <alignment horizontal="right" vertical="top"/>
    </xf>
    <xf numFmtId="4" fontId="9" fillId="0" borderId="1" xfId="5" applyNumberFormat="1" applyAlignment="1">
      <alignment wrapText="1"/>
    </xf>
    <xf numFmtId="4" fontId="12" fillId="0" borderId="0" xfId="17" applyNumberFormat="1" applyAlignment="1">
      <alignment wrapText="1"/>
    </xf>
    <xf numFmtId="4" fontId="4" fillId="0" borderId="0" xfId="17" applyNumberFormat="1" applyFont="1" applyAlignment="1">
      <alignment wrapText="1"/>
    </xf>
    <xf numFmtId="0" fontId="0" fillId="11" borderId="6" xfId="0" applyFill="1" applyBorder="1"/>
    <xf numFmtId="0" fontId="0" fillId="10" borderId="11" xfId="0" applyFill="1" applyBorder="1" applyAlignment="1">
      <alignment horizontal="left"/>
    </xf>
    <xf numFmtId="0" fontId="0" fillId="10" borderId="12" xfId="0" applyFill="1" applyBorder="1" applyAlignment="1">
      <alignment horizontal="left"/>
    </xf>
    <xf numFmtId="0" fontId="0" fillId="10" borderId="13" xfId="0" applyFill="1" applyBorder="1" applyAlignment="1">
      <alignment horizontal="left"/>
    </xf>
    <xf numFmtId="43" fontId="4" fillId="11" borderId="5" xfId="22" applyFont="1" applyFill="1" applyBorder="1" applyAlignment="1" applyProtection="1">
      <alignment vertical="center" wrapText="1"/>
      <protection locked="0"/>
    </xf>
    <xf numFmtId="0" fontId="31" fillId="4" borderId="6" xfId="26" applyFont="1" applyFill="1" applyBorder="1" applyAlignment="1"/>
    <xf numFmtId="0" fontId="14" fillId="15" borderId="6" xfId="0" applyFont="1" applyFill="1" applyBorder="1" applyAlignment="1">
      <alignment wrapText="1"/>
    </xf>
    <xf numFmtId="1" fontId="0" fillId="0" borderId="0" xfId="0" applyNumberFormat="1"/>
    <xf numFmtId="164" fontId="0" fillId="0" borderId="0" xfId="0" applyNumberFormat="1"/>
    <xf numFmtId="0" fontId="18" fillId="0" borderId="0" xfId="28" applyFont="1"/>
    <xf numFmtId="0" fontId="19" fillId="0" borderId="0" xfId="28" applyFont="1"/>
    <xf numFmtId="0" fontId="17" fillId="0" borderId="0" xfId="0" applyFont="1"/>
    <xf numFmtId="0" fontId="0" fillId="10" borderId="8" xfId="0" applyFill="1" applyBorder="1" applyAlignment="1">
      <alignment horizontal="left"/>
    </xf>
    <xf numFmtId="0" fontId="0" fillId="10" borderId="9" xfId="0" applyFill="1" applyBorder="1" applyAlignment="1">
      <alignment horizontal="left"/>
    </xf>
    <xf numFmtId="0" fontId="0" fillId="10" borderId="10" xfId="0" applyFill="1" applyBorder="1" applyAlignment="1">
      <alignment horizontal="left"/>
    </xf>
    <xf numFmtId="0" fontId="40" fillId="4" borderId="6" xfId="26" applyFont="1" applyFill="1" applyBorder="1" applyAlignment="1"/>
    <xf numFmtId="0" fontId="29" fillId="0" borderId="0" xfId="26" applyAlignment="1">
      <alignment horizontal="center"/>
    </xf>
    <xf numFmtId="0" fontId="41" fillId="0" borderId="0" xfId="0" applyFont="1"/>
    <xf numFmtId="0" fontId="25" fillId="0" borderId="0" xfId="26" applyFont="1" applyFill="1" applyBorder="1" applyAlignment="1"/>
    <xf numFmtId="0" fontId="29" fillId="0" borderId="0" xfId="26" applyAlignment="1">
      <alignment horizontal="left" vertical="center"/>
    </xf>
    <xf numFmtId="0" fontId="29" fillId="0" borderId="0" xfId="26" applyFill="1"/>
    <xf numFmtId="0" fontId="39" fillId="0" borderId="0" xfId="0" applyFont="1"/>
    <xf numFmtId="0" fontId="0" fillId="0" borderId="0" xfId="0" applyAlignment="1">
      <alignment horizontal="left"/>
    </xf>
    <xf numFmtId="0" fontId="0" fillId="0" borderId="0" xfId="0" applyAlignment="1">
      <alignment vertical="center"/>
    </xf>
    <xf numFmtId="0" fontId="14" fillId="0" borderId="0" xfId="0" applyFont="1" applyAlignment="1">
      <alignment vertical="center"/>
    </xf>
    <xf numFmtId="0" fontId="12" fillId="0" borderId="0" xfId="0" applyFont="1"/>
    <xf numFmtId="0" fontId="4" fillId="0" borderId="0" xfId="0" applyFont="1"/>
    <xf numFmtId="4" fontId="0" fillId="11" borderId="6" xfId="0" applyNumberFormat="1" applyFill="1" applyBorder="1" applyAlignment="1">
      <alignment horizontal="center"/>
    </xf>
    <xf numFmtId="173" fontId="0" fillId="11" borderId="6" xfId="0" applyNumberFormat="1" applyFill="1" applyBorder="1" applyAlignment="1">
      <alignment horizontal="center"/>
    </xf>
    <xf numFmtId="9" fontId="4" fillId="4" borderId="6" xfId="2" applyNumberFormat="1" applyBorder="1" applyAlignment="1">
      <alignment horizontal="center" vertical="center"/>
      <protection locked="0"/>
    </xf>
    <xf numFmtId="2" fontId="4" fillId="4" borderId="6" xfId="2" applyNumberFormat="1" applyBorder="1" applyAlignment="1">
      <alignment horizontal="center" vertical="center"/>
      <protection locked="0"/>
    </xf>
    <xf numFmtId="0" fontId="14" fillId="15" borderId="6" xfId="0" applyFont="1" applyFill="1" applyBorder="1" applyAlignment="1">
      <alignment vertical="center" wrapText="1"/>
    </xf>
    <xf numFmtId="0" fontId="14" fillId="15" borderId="6" xfId="0" applyFont="1" applyFill="1" applyBorder="1" applyAlignment="1">
      <alignment horizontal="center" vertical="center" wrapText="1"/>
    </xf>
    <xf numFmtId="174" fontId="0" fillId="0" borderId="6" xfId="0" applyNumberFormat="1" applyBorder="1" applyAlignment="1">
      <alignment horizontal="center" vertical="center"/>
    </xf>
    <xf numFmtId="1" fontId="0" fillId="0" borderId="6" xfId="0" applyNumberFormat="1" applyBorder="1" applyAlignment="1">
      <alignment horizontal="center" vertical="center"/>
    </xf>
    <xf numFmtId="0" fontId="32" fillId="0" borderId="6" xfId="26" applyFont="1" applyFill="1" applyBorder="1" applyAlignment="1"/>
    <xf numFmtId="173" fontId="4" fillId="11" borderId="6" xfId="0" applyNumberFormat="1" applyFont="1" applyFill="1" applyBorder="1" applyAlignment="1">
      <alignment horizontal="center"/>
    </xf>
    <xf numFmtId="9" fontId="4" fillId="11" borderId="6" xfId="0" applyNumberFormat="1" applyFont="1" applyFill="1" applyBorder="1" applyAlignment="1">
      <alignment horizontal="center"/>
    </xf>
    <xf numFmtId="0" fontId="3" fillId="4" borderId="0" xfId="13" applyFill="1"/>
    <xf numFmtId="0" fontId="0" fillId="16" borderId="6" xfId="0" applyFill="1" applyBorder="1"/>
    <xf numFmtId="173" fontId="14" fillId="0" borderId="18" xfId="0" applyNumberFormat="1" applyFont="1" applyBorder="1" applyAlignment="1">
      <alignment horizontal="center"/>
    </xf>
    <xf numFmtId="173" fontId="14" fillId="11" borderId="19" xfId="0" applyNumberFormat="1" applyFont="1" applyFill="1" applyBorder="1" applyAlignment="1">
      <alignment horizontal="center"/>
    </xf>
    <xf numFmtId="0" fontId="29" fillId="11" borderId="6" xfId="26" applyFill="1" applyBorder="1" applyAlignment="1">
      <alignment vertical="center"/>
    </xf>
    <xf numFmtId="170" fontId="20" fillId="0" borderId="6" xfId="19" applyNumberFormat="1" applyFont="1" applyBorder="1" applyAlignment="1">
      <alignment horizontal="center" vertical="top"/>
    </xf>
    <xf numFmtId="0" fontId="20" fillId="0" borderId="6" xfId="19" applyFont="1" applyBorder="1" applyAlignment="1">
      <alignment horizontal="center" vertical="top"/>
    </xf>
    <xf numFmtId="166" fontId="21" fillId="0" borderId="6" xfId="19" applyNumberFormat="1" applyFont="1" applyBorder="1" applyAlignment="1">
      <alignment horizontal="center" vertical="top"/>
    </xf>
    <xf numFmtId="0" fontId="21" fillId="0" borderId="6" xfId="13" applyFont="1" applyBorder="1" applyAlignment="1">
      <alignment vertical="center" wrapText="1"/>
    </xf>
    <xf numFmtId="16" fontId="21" fillId="0" borderId="6" xfId="13" applyNumberFormat="1" applyFont="1" applyBorder="1" applyAlignment="1">
      <alignment vertical="center" wrapText="1"/>
    </xf>
    <xf numFmtId="17" fontId="21" fillId="0" borderId="6" xfId="13" applyNumberFormat="1" applyFont="1" applyBorder="1" applyAlignment="1">
      <alignment vertical="center" wrapText="1"/>
    </xf>
    <xf numFmtId="0" fontId="21" fillId="0" borderId="0" xfId="17" applyFont="1"/>
    <xf numFmtId="0" fontId="20" fillId="15" borderId="6" xfId="5" applyFont="1" applyFill="1" applyBorder="1" applyAlignment="1">
      <alignment wrapText="1"/>
    </xf>
    <xf numFmtId="0" fontId="20" fillId="15" borderId="6" xfId="5" applyFont="1" applyFill="1" applyBorder="1" applyAlignment="1">
      <alignment horizontal="center" wrapText="1"/>
    </xf>
    <xf numFmtId="0" fontId="20" fillId="9" borderId="0" xfId="18" applyFont="1" applyFill="1" applyAlignment="1">
      <alignment vertical="top"/>
    </xf>
    <xf numFmtId="0" fontId="21" fillId="0" borderId="6" xfId="18" applyFont="1" applyBorder="1" applyAlignment="1">
      <alignment vertical="top"/>
    </xf>
    <xf numFmtId="0" fontId="21" fillId="0" borderId="6" xfId="18" applyFont="1" applyBorder="1" applyAlignment="1">
      <alignment horizontal="center" vertical="top"/>
    </xf>
    <xf numFmtId="4" fontId="21" fillId="9" borderId="0" xfId="18" applyNumberFormat="1" applyFont="1" applyFill="1" applyAlignment="1">
      <alignment vertical="top"/>
    </xf>
    <xf numFmtId="166" fontId="21" fillId="0" borderId="6" xfId="18" applyNumberFormat="1" applyFont="1" applyBorder="1" applyAlignment="1">
      <alignment horizontal="center" vertical="top"/>
    </xf>
    <xf numFmtId="167" fontId="21" fillId="9" borderId="0" xfId="18" applyNumberFormat="1" applyFont="1" applyFill="1" applyAlignment="1">
      <alignment vertical="top"/>
    </xf>
    <xf numFmtId="3" fontId="21" fillId="0" borderId="6" xfId="18" applyNumberFormat="1" applyFont="1" applyBorder="1" applyAlignment="1">
      <alignment horizontal="center" vertical="top"/>
    </xf>
    <xf numFmtId="168" fontId="20" fillId="9" borderId="0" xfId="18" applyNumberFormat="1" applyFont="1" applyFill="1" applyAlignment="1">
      <alignment vertical="top"/>
    </xf>
    <xf numFmtId="165" fontId="21" fillId="0" borderId="6" xfId="18" applyNumberFormat="1" applyFont="1" applyBorder="1" applyAlignment="1">
      <alignment horizontal="center" vertical="top"/>
    </xf>
    <xf numFmtId="4" fontId="20" fillId="9" borderId="0" xfId="18" applyNumberFormat="1" applyFont="1" applyFill="1" applyAlignment="1">
      <alignment vertical="top"/>
    </xf>
    <xf numFmtId="0" fontId="21" fillId="9" borderId="0" xfId="18" applyFont="1" applyFill="1" applyAlignment="1">
      <alignment vertical="top"/>
    </xf>
    <xf numFmtId="165" fontId="21" fillId="9" borderId="0" xfId="18" applyNumberFormat="1" applyFont="1" applyFill="1" applyAlignment="1">
      <alignment vertical="top"/>
    </xf>
    <xf numFmtId="169" fontId="21" fillId="0" borderId="6" xfId="18" applyNumberFormat="1" applyFont="1" applyBorder="1" applyAlignment="1">
      <alignment horizontal="center" vertical="top"/>
    </xf>
    <xf numFmtId="164" fontId="21" fillId="0" borderId="6" xfId="18" applyNumberFormat="1" applyFont="1" applyBorder="1" applyAlignment="1">
      <alignment horizontal="center" vertical="top"/>
    </xf>
    <xf numFmtId="170" fontId="20" fillId="0" borderId="6" xfId="18" applyNumberFormat="1" applyFont="1" applyBorder="1" applyAlignment="1">
      <alignment horizontal="center" vertical="top"/>
    </xf>
    <xf numFmtId="4" fontId="21" fillId="0" borderId="6" xfId="18" applyNumberFormat="1" applyFont="1" applyBorder="1" applyAlignment="1">
      <alignment horizontal="center" vertical="top"/>
    </xf>
    <xf numFmtId="170" fontId="21" fillId="0" borderId="6" xfId="18" applyNumberFormat="1" applyFont="1" applyBorder="1" applyAlignment="1">
      <alignment horizontal="center" vertical="top"/>
    </xf>
    <xf numFmtId="171" fontId="21" fillId="0" borderId="6" xfId="18" applyNumberFormat="1" applyFont="1" applyBorder="1" applyAlignment="1">
      <alignment horizontal="center" vertical="top"/>
    </xf>
    <xf numFmtId="1" fontId="21" fillId="0" borderId="6" xfId="18" applyNumberFormat="1" applyFont="1" applyBorder="1" applyAlignment="1">
      <alignment horizontal="center" vertical="top"/>
    </xf>
    <xf numFmtId="172" fontId="21" fillId="0" borderId="6" xfId="18" applyNumberFormat="1" applyFont="1" applyBorder="1" applyAlignment="1">
      <alignment horizontal="center" vertical="top"/>
    </xf>
    <xf numFmtId="169" fontId="20" fillId="0" borderId="6" xfId="18" applyNumberFormat="1" applyFont="1" applyBorder="1" applyAlignment="1">
      <alignment horizontal="center" vertical="top"/>
    </xf>
    <xf numFmtId="166" fontId="20" fillId="9" borderId="0" xfId="18" applyNumberFormat="1" applyFont="1" applyFill="1" applyAlignment="1">
      <alignment vertical="top"/>
    </xf>
    <xf numFmtId="173" fontId="21" fillId="0" borderId="6" xfId="18" applyNumberFormat="1" applyFont="1" applyBorder="1" applyAlignment="1">
      <alignment horizontal="center" vertical="top"/>
    </xf>
    <xf numFmtId="174" fontId="21" fillId="0" borderId="6" xfId="18" applyNumberFormat="1" applyFont="1" applyBorder="1" applyAlignment="1">
      <alignment horizontal="center" vertical="top"/>
    </xf>
    <xf numFmtId="2" fontId="21" fillId="0" borderId="6" xfId="18" applyNumberFormat="1" applyFont="1" applyBorder="1" applyAlignment="1">
      <alignment horizontal="center" vertical="top"/>
    </xf>
    <xf numFmtId="175" fontId="21" fillId="0" borderId="6" xfId="18" applyNumberFormat="1" applyFont="1" applyBorder="1" applyAlignment="1">
      <alignment horizontal="center" vertical="top"/>
    </xf>
    <xf numFmtId="0" fontId="20" fillId="0" borderId="6" xfId="18" applyFont="1" applyBorder="1" applyAlignment="1">
      <alignment vertical="top"/>
    </xf>
    <xf numFmtId="0" fontId="20" fillId="0" borderId="0" xfId="18" applyFont="1" applyAlignment="1">
      <alignment vertical="top"/>
    </xf>
    <xf numFmtId="0" fontId="21" fillId="0" borderId="0" xfId="18" applyFont="1" applyAlignment="1">
      <alignment vertical="top"/>
    </xf>
    <xf numFmtId="165" fontId="21" fillId="0" borderId="0" xfId="18" applyNumberFormat="1" applyFont="1" applyAlignment="1">
      <alignment vertical="top"/>
    </xf>
    <xf numFmtId="0" fontId="21" fillId="0" borderId="0" xfId="17" applyFont="1" applyAlignment="1">
      <alignment horizontal="left"/>
    </xf>
    <xf numFmtId="0" fontId="21" fillId="10" borderId="6" xfId="17" applyFont="1" applyFill="1" applyBorder="1" applyAlignment="1">
      <alignment horizontal="left"/>
    </xf>
    <xf numFmtId="0" fontId="45" fillId="0" borderId="6" xfId="26" applyFont="1" applyBorder="1"/>
    <xf numFmtId="0" fontId="14" fillId="15" borderId="6" xfId="0" applyFont="1" applyFill="1" applyBorder="1"/>
    <xf numFmtId="0" fontId="0" fillId="15" borderId="6" xfId="0" applyFill="1" applyBorder="1"/>
    <xf numFmtId="0" fontId="44" fillId="15" borderId="6" xfId="0" applyFont="1" applyFill="1" applyBorder="1" applyAlignment="1">
      <alignment horizontal="center"/>
    </xf>
    <xf numFmtId="0" fontId="38" fillId="15" borderId="6" xfId="0" applyFont="1" applyFill="1" applyBorder="1" applyAlignment="1">
      <alignment horizontal="center"/>
    </xf>
    <xf numFmtId="0" fontId="0" fillId="0" borderId="6" xfId="0" applyBorder="1" applyAlignment="1">
      <alignment horizontal="center"/>
    </xf>
    <xf numFmtId="0" fontId="4" fillId="0" borderId="6" xfId="26" applyFont="1" applyFill="1" applyBorder="1" applyAlignment="1">
      <alignment wrapText="1"/>
    </xf>
    <xf numFmtId="0" fontId="0" fillId="4" borderId="0" xfId="0" applyFill="1"/>
    <xf numFmtId="0" fontId="14" fillId="4" borderId="0" xfId="0" applyFont="1" applyFill="1"/>
    <xf numFmtId="0" fontId="20" fillId="9" borderId="0" xfId="19" applyFont="1" applyFill="1"/>
    <xf numFmtId="0" fontId="20" fillId="0" borderId="0" xfId="19" applyFont="1"/>
    <xf numFmtId="0" fontId="20" fillId="10" borderId="0" xfId="18" applyFont="1" applyFill="1" applyAlignment="1">
      <alignment vertical="top"/>
    </xf>
    <xf numFmtId="0" fontId="20" fillId="0" borderId="0" xfId="10" applyFont="1" applyBorder="1"/>
    <xf numFmtId="0" fontId="21" fillId="0" borderId="0" xfId="10" applyFont="1" applyBorder="1"/>
    <xf numFmtId="0" fontId="21" fillId="0" borderId="0" xfId="14" applyFont="1"/>
    <xf numFmtId="0" fontId="0" fillId="0" borderId="0" xfId="0" applyAlignment="1">
      <alignment horizontal="left" vertical="top"/>
    </xf>
    <xf numFmtId="0" fontId="0" fillId="0" borderId="8" xfId="0" applyBorder="1"/>
    <xf numFmtId="0" fontId="0" fillId="0" borderId="10" xfId="0" applyBorder="1"/>
    <xf numFmtId="0" fontId="29" fillId="4" borderId="6" xfId="26" applyFill="1" applyBorder="1" applyAlignment="1">
      <alignment vertical="center"/>
    </xf>
    <xf numFmtId="0" fontId="29" fillId="15" borderId="6" xfId="26" applyFill="1" applyBorder="1" applyAlignment="1">
      <alignment vertical="center"/>
    </xf>
    <xf numFmtId="0" fontId="38" fillId="0" borderId="0" xfId="13" applyFont="1"/>
    <xf numFmtId="0" fontId="25" fillId="15" borderId="0" xfId="17" applyFont="1" applyFill="1"/>
    <xf numFmtId="43" fontId="25" fillId="15" borderId="0" xfId="20" applyFont="1" applyFill="1"/>
    <xf numFmtId="0" fontId="14" fillId="15" borderId="0" xfId="17" applyFont="1" applyFill="1"/>
    <xf numFmtId="0" fontId="25" fillId="15" borderId="0" xfId="17" applyFont="1" applyFill="1" applyAlignment="1">
      <alignment wrapText="1"/>
    </xf>
    <xf numFmtId="0" fontId="9" fillId="15" borderId="0" xfId="10" applyFont="1" applyFill="1" applyBorder="1" applyAlignment="1">
      <alignment vertical="center"/>
    </xf>
    <xf numFmtId="0" fontId="47" fillId="4" borderId="5" xfId="2" applyNumberFormat="1" applyFont="1" applyBorder="1" applyAlignment="1">
      <alignment vertical="center"/>
      <protection locked="0"/>
    </xf>
    <xf numFmtId="0" fontId="26" fillId="4" borderId="5" xfId="2" applyNumberFormat="1" applyFont="1" applyBorder="1" applyAlignment="1">
      <alignment vertical="center"/>
      <protection locked="0"/>
    </xf>
    <xf numFmtId="4" fontId="4" fillId="11" borderId="5" xfId="22" applyNumberFormat="1" applyFont="1" applyFill="1" applyBorder="1" applyAlignment="1" applyProtection="1">
      <alignment vertical="center"/>
      <protection locked="0"/>
    </xf>
    <xf numFmtId="4" fontId="4" fillId="0" borderId="0" xfId="22" applyNumberFormat="1" applyFont="1" applyAlignment="1"/>
    <xf numFmtId="4" fontId="4" fillId="0" borderId="0" xfId="22" applyNumberFormat="1" applyFont="1" applyAlignment="1">
      <alignment vertical="center"/>
    </xf>
    <xf numFmtId="4" fontId="14" fillId="11" borderId="6" xfId="17" applyNumberFormat="1" applyFont="1" applyFill="1" applyBorder="1" applyAlignment="1">
      <alignment wrapText="1"/>
    </xf>
    <xf numFmtId="0" fontId="48" fillId="0" borderId="0" xfId="0" applyFont="1" applyAlignment="1">
      <alignment vertical="top"/>
    </xf>
    <xf numFmtId="0" fontId="29" fillId="10" borderId="0" xfId="26" applyFill="1"/>
    <xf numFmtId="0" fontId="32" fillId="0" borderId="0" xfId="26" applyFont="1" applyFill="1" applyBorder="1" applyAlignment="1"/>
    <xf numFmtId="9" fontId="0" fillId="11" borderId="6" xfId="0" applyNumberFormat="1" applyFill="1" applyBorder="1" applyAlignment="1">
      <alignment horizontal="center"/>
    </xf>
    <xf numFmtId="0" fontId="25" fillId="4" borderId="6" xfId="2" applyNumberFormat="1" applyFont="1" applyBorder="1" applyAlignment="1">
      <alignment horizontal="right" vertical="center"/>
      <protection locked="0"/>
    </xf>
    <xf numFmtId="176" fontId="0" fillId="0" borderId="0" xfId="0" quotePrefix="1" applyNumberFormat="1" applyAlignment="1">
      <alignment horizontal="right"/>
    </xf>
    <xf numFmtId="0" fontId="25" fillId="0" borderId="0" xfId="0" applyFont="1"/>
    <xf numFmtId="43" fontId="12" fillId="0" borderId="0" xfId="17" applyNumberFormat="1" applyAlignment="1">
      <alignment wrapText="1"/>
    </xf>
    <xf numFmtId="4" fontId="4" fillId="4" borderId="5" xfId="22" applyNumberFormat="1" applyFont="1" applyFill="1" applyBorder="1" applyAlignment="1" applyProtection="1">
      <alignment vertical="center"/>
      <protection locked="0"/>
    </xf>
    <xf numFmtId="4" fontId="26" fillId="4" borderId="5" xfId="22" applyNumberFormat="1" applyFont="1" applyFill="1" applyBorder="1" applyAlignment="1" applyProtection="1">
      <alignment vertical="center"/>
      <protection locked="0"/>
    </xf>
    <xf numFmtId="4" fontId="4" fillId="4" borderId="5" xfId="22" applyNumberFormat="1" applyFont="1" applyFill="1" applyBorder="1" applyAlignment="1" applyProtection="1">
      <alignment vertical="center" wrapText="1"/>
      <protection locked="0"/>
    </xf>
    <xf numFmtId="4" fontId="4" fillId="0" borderId="0" xfId="22" applyNumberFormat="1" applyFont="1" applyAlignment="1">
      <alignment wrapText="1"/>
    </xf>
    <xf numFmtId="4" fontId="25" fillId="15" borderId="0" xfId="17" applyNumberFormat="1" applyFont="1" applyFill="1" applyAlignment="1">
      <alignment wrapText="1"/>
    </xf>
    <xf numFmtId="4" fontId="26" fillId="4" borderId="5" xfId="22" applyNumberFormat="1" applyFont="1" applyFill="1" applyBorder="1" applyAlignment="1" applyProtection="1">
      <alignment vertical="center" wrapText="1"/>
      <protection locked="0"/>
    </xf>
    <xf numFmtId="4" fontId="26" fillId="0" borderId="0" xfId="22" applyNumberFormat="1" applyFont="1" applyAlignment="1">
      <alignment wrapText="1"/>
    </xf>
    <xf numFmtId="4" fontId="47" fillId="15" borderId="0" xfId="17" applyNumberFormat="1" applyFont="1" applyFill="1" applyAlignment="1">
      <alignment wrapText="1"/>
    </xf>
    <xf numFmtId="4" fontId="4" fillId="10" borderId="0" xfId="22" applyNumberFormat="1" applyFont="1" applyFill="1"/>
    <xf numFmtId="4" fontId="4" fillId="0" borderId="0" xfId="22" applyNumberFormat="1" applyFont="1"/>
    <xf numFmtId="4" fontId="12" fillId="0" borderId="0" xfId="22" applyNumberFormat="1" applyFont="1"/>
    <xf numFmtId="4" fontId="25" fillId="15" borderId="0" xfId="20" applyNumberFormat="1" applyFont="1" applyFill="1"/>
    <xf numFmtId="4" fontId="25" fillId="15" borderId="0" xfId="17" applyNumberFormat="1" applyFont="1" applyFill="1"/>
    <xf numFmtId="4" fontId="14" fillId="15" borderId="0" xfId="17" applyNumberFormat="1" applyFont="1" applyFill="1"/>
    <xf numFmtId="173" fontId="0" fillId="0" borderId="6" xfId="0" applyNumberFormat="1" applyBorder="1" applyAlignment="1">
      <alignment horizontal="center"/>
    </xf>
    <xf numFmtId="0" fontId="45" fillId="0" borderId="6" xfId="26" applyFont="1" applyFill="1" applyBorder="1"/>
    <xf numFmtId="177" fontId="4" fillId="11" borderId="5" xfId="23" applyNumberFormat="1" applyFont="1" applyFill="1" applyBorder="1" applyAlignment="1" applyProtection="1">
      <alignment horizontal="center" vertical="center"/>
      <protection locked="0"/>
    </xf>
    <xf numFmtId="177" fontId="4" fillId="11" borderId="5" xfId="2" applyNumberFormat="1" applyFill="1" applyBorder="1" applyAlignment="1">
      <alignment horizontal="center" vertical="center"/>
      <protection locked="0"/>
    </xf>
    <xf numFmtId="4" fontId="4" fillId="0" borderId="0" xfId="22" applyNumberFormat="1" applyFont="1" applyAlignment="1">
      <alignment vertical="center" wrapText="1"/>
    </xf>
    <xf numFmtId="0" fontId="50" fillId="0" borderId="0" xfId="0" applyFont="1" applyAlignment="1">
      <alignment vertical="top"/>
    </xf>
    <xf numFmtId="0" fontId="0" fillId="15" borderId="6" xfId="0" applyFill="1" applyBorder="1" applyAlignment="1">
      <alignment horizontal="right"/>
    </xf>
    <xf numFmtId="0" fontId="0" fillId="0" borderId="7"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10" borderId="8" xfId="0" applyFill="1" applyBorder="1" applyAlignment="1">
      <alignment horizontal="left"/>
    </xf>
    <xf numFmtId="0" fontId="0" fillId="10" borderId="9" xfId="0" applyFill="1" applyBorder="1" applyAlignment="1">
      <alignment horizontal="left"/>
    </xf>
    <xf numFmtId="0" fontId="0" fillId="10" borderId="10" xfId="0" applyFill="1" applyBorder="1" applyAlignment="1">
      <alignment horizontal="left"/>
    </xf>
    <xf numFmtId="0" fontId="0" fillId="10" borderId="11" xfId="0" applyFill="1" applyBorder="1" applyAlignment="1">
      <alignment horizontal="left" vertical="center" wrapText="1"/>
    </xf>
    <xf numFmtId="0" fontId="0" fillId="10" borderId="12" xfId="0" applyFill="1" applyBorder="1" applyAlignment="1">
      <alignment horizontal="left" vertical="center"/>
    </xf>
    <xf numFmtId="0" fontId="0" fillId="10" borderId="13" xfId="0" applyFill="1" applyBorder="1" applyAlignment="1">
      <alignment horizontal="left" vertical="center"/>
    </xf>
    <xf numFmtId="0" fontId="0" fillId="10" borderId="7" xfId="0" applyFill="1" applyBorder="1" applyAlignment="1">
      <alignment horizontal="left" vertical="center"/>
    </xf>
    <xf numFmtId="0" fontId="0" fillId="10" borderId="0" xfId="0" applyFill="1" applyAlignment="1">
      <alignment horizontal="left" vertical="center"/>
    </xf>
    <xf numFmtId="0" fontId="0" fillId="10" borderId="14" xfId="0" applyFill="1" applyBorder="1" applyAlignment="1">
      <alignment horizontal="left" vertical="center"/>
    </xf>
    <xf numFmtId="0" fontId="0" fillId="10" borderId="15" xfId="0" applyFill="1" applyBorder="1" applyAlignment="1">
      <alignment horizontal="left" vertical="center"/>
    </xf>
    <xf numFmtId="0" fontId="0" fillId="10" borderId="16" xfId="0" applyFill="1" applyBorder="1" applyAlignment="1">
      <alignment horizontal="left" vertical="center"/>
    </xf>
    <xf numFmtId="0" fontId="0" fillId="10" borderId="17" xfId="0" applyFill="1" applyBorder="1" applyAlignment="1">
      <alignment horizontal="left" vertical="center"/>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9" xfId="0" applyBorder="1"/>
  </cellXfs>
  <cellStyles count="67">
    <cellStyle name="60% - Accent1 4 2" xfId="31" xr:uid="{00000000-0005-0000-0000-000000000000}"/>
    <cellStyle name="Calculation - 1" xfId="3" xr:uid="{00000000-0005-0000-0000-000001000000}"/>
    <cellStyle name="Calculation - 2" xfId="1" xr:uid="{00000000-0005-0000-0000-000002000000}"/>
    <cellStyle name="Calculation - 3" xfId="11" xr:uid="{00000000-0005-0000-0000-000003000000}"/>
    <cellStyle name="Comma" xfId="22" builtinId="3"/>
    <cellStyle name="Comma 141" xfId="32" xr:uid="{00000000-0005-0000-0000-000005000000}"/>
    <cellStyle name="Comma 2" xfId="20" xr:uid="{00000000-0005-0000-0000-000006000000}"/>
    <cellStyle name="Comma 5" xfId="16" xr:uid="{00000000-0005-0000-0000-000007000000}"/>
    <cellStyle name="Free Entry" xfId="2" xr:uid="{00000000-0005-0000-0000-000008000000}"/>
    <cellStyle name="Heading - 1" xfId="5" xr:uid="{00000000-0005-0000-0000-000009000000}"/>
    <cellStyle name="Heading - 2" xfId="9" xr:uid="{00000000-0005-0000-0000-00000A000000}"/>
    <cellStyle name="Hyperlink" xfId="26" builtinId="8"/>
    <cellStyle name="Linked Cell 2 8" xfId="33" xr:uid="{00000000-0005-0000-0000-00000C000000}"/>
    <cellStyle name="Listed Input" xfId="12" xr:uid="{00000000-0005-0000-0000-00000D000000}"/>
    <cellStyle name="Listed Input 2" xfId="21" xr:uid="{00000000-0005-0000-0000-00000E000000}"/>
    <cellStyle name="Named Range" xfId="8" xr:uid="{00000000-0005-0000-0000-00000F000000}"/>
    <cellStyle name="Normal" xfId="0" builtinId="0" customBuiltin="1"/>
    <cellStyle name="Normal - Style1 2" xfId="34" xr:uid="{00000000-0005-0000-0000-000011000000}"/>
    <cellStyle name="Normal 10 10" xfId="35" xr:uid="{00000000-0005-0000-0000-000012000000}"/>
    <cellStyle name="Normal 10 10 4" xfId="36" xr:uid="{00000000-0005-0000-0000-000013000000}"/>
    <cellStyle name="Normal 10 10 5" xfId="37" xr:uid="{00000000-0005-0000-0000-000014000000}"/>
    <cellStyle name="Normal 10 13" xfId="38" xr:uid="{00000000-0005-0000-0000-000015000000}"/>
    <cellStyle name="Normal 119" xfId="39" xr:uid="{00000000-0005-0000-0000-000016000000}"/>
    <cellStyle name="Normal 119 2" xfId="40" xr:uid="{00000000-0005-0000-0000-000017000000}"/>
    <cellStyle name="Normal 134 2 2" xfId="41" xr:uid="{00000000-0005-0000-0000-000018000000}"/>
    <cellStyle name="Normal 155 2" xfId="42" xr:uid="{00000000-0005-0000-0000-000019000000}"/>
    <cellStyle name="Normal 156" xfId="43" xr:uid="{00000000-0005-0000-0000-00001A000000}"/>
    <cellStyle name="Normal 157" xfId="44" xr:uid="{00000000-0005-0000-0000-00001B000000}"/>
    <cellStyle name="Normal 164" xfId="45" xr:uid="{00000000-0005-0000-0000-00001C000000}"/>
    <cellStyle name="Normal 165" xfId="46" xr:uid="{00000000-0005-0000-0000-00001D000000}"/>
    <cellStyle name="Normal 166" xfId="47" xr:uid="{00000000-0005-0000-0000-00001E000000}"/>
    <cellStyle name="Normal 167" xfId="48" xr:uid="{00000000-0005-0000-0000-00001F000000}"/>
    <cellStyle name="Normal 168" xfId="49" xr:uid="{00000000-0005-0000-0000-000020000000}"/>
    <cellStyle name="Normal 169" xfId="50" xr:uid="{00000000-0005-0000-0000-000021000000}"/>
    <cellStyle name="Normal 170" xfId="51" xr:uid="{00000000-0005-0000-0000-000022000000}"/>
    <cellStyle name="Normal 2" xfId="13" xr:uid="{00000000-0005-0000-0000-000023000000}"/>
    <cellStyle name="Normal 2 10" xfId="52" xr:uid="{00000000-0005-0000-0000-000024000000}"/>
    <cellStyle name="Normal 2 2" xfId="30" xr:uid="{00000000-0005-0000-0000-000025000000}"/>
    <cellStyle name="Normal 2 2 9 3" xfId="53" xr:uid="{00000000-0005-0000-0000-000026000000}"/>
    <cellStyle name="Normal 2 24" xfId="54" xr:uid="{00000000-0005-0000-0000-000027000000}"/>
    <cellStyle name="Normal 2 25" xfId="55" xr:uid="{00000000-0005-0000-0000-000028000000}"/>
    <cellStyle name="Normal 2 61" xfId="17" xr:uid="{00000000-0005-0000-0000-000029000000}"/>
    <cellStyle name="Normal 3" xfId="24" xr:uid="{00000000-0005-0000-0000-00002A000000}"/>
    <cellStyle name="Normal 3 2" xfId="56" xr:uid="{00000000-0005-0000-0000-00002B000000}"/>
    <cellStyle name="Normal 3 2 2" xfId="29" xr:uid="{00000000-0005-0000-0000-00002C000000}"/>
    <cellStyle name="Normal 4" xfId="14" xr:uid="{00000000-0005-0000-0000-00002D000000}"/>
    <cellStyle name="Normal 4 2" xfId="15" xr:uid="{00000000-0005-0000-0000-00002E000000}"/>
    <cellStyle name="Normal 5" xfId="28" xr:uid="{00000000-0005-0000-0000-00002F000000}"/>
    <cellStyle name="Normal 56" xfId="27" xr:uid="{00000000-0005-0000-0000-000030000000}"/>
    <cellStyle name="Normal 83" xfId="57" xr:uid="{00000000-0005-0000-0000-000031000000}"/>
    <cellStyle name="Normal_Conversion_gal and bbl_final1_updated" xfId="18" xr:uid="{00000000-0005-0000-0000-000032000000}"/>
    <cellStyle name="Normal_European Ethanol SD model_15_clean" xfId="19" xr:uid="{00000000-0005-0000-0000-000034000000}"/>
    <cellStyle name="Percent" xfId="23" builtinId="5"/>
    <cellStyle name="Percent 2" xfId="25" xr:uid="{00000000-0005-0000-0000-000036000000}"/>
    <cellStyle name="Percent 2 14" xfId="58" xr:uid="{00000000-0005-0000-0000-000037000000}"/>
    <cellStyle name="Percent 2 21 2" xfId="59" xr:uid="{00000000-0005-0000-0000-000038000000}"/>
    <cellStyle name="Percent 7 2 2 2 2" xfId="60" xr:uid="{00000000-0005-0000-0000-000039000000}"/>
    <cellStyle name="Percent 87" xfId="61" xr:uid="{00000000-0005-0000-0000-00003A000000}"/>
    <cellStyle name="Percent 90" xfId="62" xr:uid="{00000000-0005-0000-0000-00003B000000}"/>
    <cellStyle name="Percent 92" xfId="63" xr:uid="{00000000-0005-0000-0000-00003C000000}"/>
    <cellStyle name="Percent 98" xfId="64" xr:uid="{00000000-0005-0000-0000-00003D000000}"/>
    <cellStyle name="Reference" xfId="7" xr:uid="{00000000-0005-0000-0000-00003E000000}"/>
    <cellStyle name="Sheet Title" xfId="4" xr:uid="{00000000-0005-0000-0000-00003F000000}"/>
    <cellStyle name="Sub heading - 1" xfId="10" xr:uid="{00000000-0005-0000-0000-000040000000}"/>
    <cellStyle name="Sub heading - 2" xfId="6" xr:uid="{00000000-0005-0000-0000-000041000000}"/>
    <cellStyle name="Title 1" xfId="65" xr:uid="{00000000-0005-0000-0000-000042000000}"/>
    <cellStyle name="Title 3 2" xfId="66" xr:uid="{00000000-0005-0000-0000-000043000000}"/>
  </cellStyles>
  <dxfs count="48">
    <dxf>
      <fill>
        <patternFill>
          <bgColor rgb="FFFF0000"/>
        </patternFill>
      </fill>
    </dxf>
    <dxf>
      <fill>
        <patternFill>
          <bgColor rgb="FFFFC000"/>
        </patternFill>
      </fill>
    </dxf>
    <dxf>
      <fill>
        <patternFill patternType="solid">
          <fgColor theme="7" tint="0.59999389629810485"/>
          <bgColor theme="7" tint="0.59999389629810485"/>
        </patternFill>
      </fill>
    </dxf>
    <dxf>
      <fill>
        <patternFill patternType="solid">
          <fgColor theme="7" tint="0.59999389629810485"/>
          <bgColor theme="7" tint="0.59999389629810485"/>
        </patternFill>
      </fill>
    </dxf>
    <dxf>
      <font>
        <b/>
        <color theme="0"/>
      </font>
      <fill>
        <patternFill patternType="solid">
          <fgColor theme="7"/>
          <bgColor theme="7"/>
        </patternFill>
      </fill>
    </dxf>
    <dxf>
      <font>
        <b/>
        <color theme="0"/>
      </font>
      <fill>
        <patternFill patternType="solid">
          <fgColor theme="7"/>
          <bgColor theme="7"/>
        </patternFill>
      </fill>
    </dxf>
    <dxf>
      <font>
        <b/>
        <color theme="0"/>
      </font>
      <fill>
        <patternFill patternType="solid">
          <fgColor theme="7"/>
          <bgColor theme="7"/>
        </patternFill>
      </fill>
      <border>
        <top style="thick">
          <color theme="0"/>
        </top>
      </border>
    </dxf>
    <dxf>
      <font>
        <b/>
        <color theme="0"/>
      </font>
      <fill>
        <patternFill patternType="solid">
          <fgColor theme="7"/>
          <bgColor theme="7"/>
        </patternFill>
      </fill>
      <border>
        <bottom style="thick">
          <color theme="0"/>
        </bottom>
      </border>
    </dxf>
    <dxf>
      <font>
        <color theme="1"/>
      </font>
      <fill>
        <patternFill patternType="solid">
          <fgColor theme="7" tint="0.79998168889431442"/>
          <bgColor theme="7" tint="0.79998168889431442"/>
        </patternFill>
      </fill>
      <border>
        <vertical style="thin">
          <color theme="0"/>
        </vertical>
        <horizontal style="thin">
          <color theme="0"/>
        </horizontal>
      </border>
    </dxf>
    <dxf>
      <fill>
        <patternFill patternType="solid">
          <fgColor theme="6" tint="0.59999389629810485"/>
          <bgColor theme="6" tint="0.59999389629810485"/>
        </patternFill>
      </fill>
    </dxf>
    <dxf>
      <fill>
        <patternFill patternType="solid">
          <fgColor theme="6" tint="0.59999389629810485"/>
          <bgColor theme="6" tint="0.59999389629810485"/>
        </patternFill>
      </fill>
    </dxf>
    <dxf>
      <font>
        <b/>
        <color theme="0"/>
      </font>
      <fill>
        <patternFill patternType="solid">
          <fgColor theme="6"/>
          <bgColor theme="6"/>
        </patternFill>
      </fill>
    </dxf>
    <dxf>
      <font>
        <b/>
        <color theme="0"/>
      </font>
      <fill>
        <patternFill patternType="solid">
          <fgColor theme="6"/>
          <bgColor theme="6"/>
        </patternFill>
      </fill>
    </dxf>
    <dxf>
      <font>
        <b/>
        <color theme="0"/>
      </font>
      <fill>
        <patternFill patternType="solid">
          <fgColor theme="6"/>
          <bgColor theme="6"/>
        </patternFill>
      </fill>
      <border>
        <top style="thick">
          <color theme="0"/>
        </top>
      </border>
    </dxf>
    <dxf>
      <font>
        <b/>
        <color theme="0"/>
      </font>
      <fill>
        <patternFill patternType="solid">
          <fgColor theme="6"/>
          <bgColor theme="6"/>
        </patternFill>
      </fill>
      <border>
        <bottom style="thick">
          <color theme="0"/>
        </bottom>
      </border>
    </dxf>
    <dxf>
      <font>
        <color theme="1"/>
      </font>
      <fill>
        <patternFill patternType="solid">
          <fgColor theme="6" tint="0.79998168889431442"/>
          <bgColor theme="6" tint="0.79998168889431442"/>
        </patternFill>
      </fill>
      <border>
        <vertical style="thin">
          <color theme="0"/>
        </vertical>
        <horizontal style="thin">
          <color theme="0"/>
        </horizontal>
      </border>
    </dxf>
    <dxf>
      <fill>
        <patternFill patternType="solid">
          <fgColor theme="7" tint="0.79998168889431442"/>
          <bgColor theme="7" tint="0.79998168889431442"/>
        </patternFill>
      </fill>
    </dxf>
    <dxf>
      <fill>
        <patternFill patternType="solid">
          <fgColor theme="7" tint="0.79995117038483843"/>
          <bgColor theme="7" tint="0.59996337778862885"/>
        </patternFill>
      </fill>
    </dxf>
    <dxf>
      <font>
        <b/>
        <color theme="7" tint="-0.249977111117893"/>
      </font>
    </dxf>
    <dxf>
      <font>
        <b/>
        <color theme="7" tint="-0.249977111117893"/>
      </font>
    </dxf>
    <dxf>
      <font>
        <b/>
        <color theme="7" tint="-0.249977111117893"/>
      </font>
      <border>
        <top style="thin">
          <color theme="7"/>
        </top>
      </border>
    </dxf>
    <dxf>
      <font>
        <b/>
        <i val="0"/>
        <color theme="7" tint="-0.499984740745262"/>
      </font>
      <border>
        <bottom style="thin">
          <color theme="7"/>
        </bottom>
      </border>
    </dxf>
    <dxf>
      <font>
        <color theme="7" tint="-0.499984740745262"/>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5117038483843"/>
          <bgColor theme="6" tint="0.59996337778862885"/>
        </patternFill>
      </fill>
    </dxf>
    <dxf>
      <font>
        <b/>
        <color theme="6" tint="-0.249977111117893"/>
      </font>
    </dxf>
    <dxf>
      <font>
        <b/>
        <color theme="6" tint="-0.249977111117893"/>
      </font>
    </dxf>
    <dxf>
      <font>
        <b/>
        <color theme="6" tint="-0.249977111117893"/>
      </font>
      <border>
        <top style="thin">
          <color theme="6"/>
        </top>
      </border>
    </dxf>
    <dxf>
      <font>
        <b/>
        <i val="0"/>
        <color theme="5"/>
      </font>
      <border>
        <bottom style="thin">
          <color theme="6"/>
        </bottom>
      </border>
    </dxf>
    <dxf>
      <font>
        <color auto="1"/>
      </font>
      <border>
        <top style="thin">
          <color theme="6"/>
        </top>
        <bottom style="thin">
          <color theme="6"/>
        </bottom>
      </border>
    </dxf>
    <dxf>
      <border>
        <left style="thin">
          <color theme="7"/>
        </left>
      </border>
    </dxf>
    <dxf>
      <border>
        <left style="thin">
          <color theme="7"/>
        </left>
      </border>
    </dxf>
    <dxf>
      <border>
        <top style="thin">
          <color theme="7"/>
        </top>
      </border>
    </dxf>
    <dxf>
      <border>
        <top style="thin">
          <color theme="7"/>
        </top>
      </border>
    </dxf>
    <dxf>
      <font>
        <b/>
        <color theme="1"/>
      </font>
    </dxf>
    <dxf>
      <font>
        <b/>
        <color theme="1"/>
      </font>
    </dxf>
    <dxf>
      <font>
        <b/>
        <color theme="1"/>
      </font>
      <border>
        <top style="double">
          <color theme="7"/>
        </top>
      </border>
    </dxf>
    <dxf>
      <font>
        <b/>
        <color theme="0"/>
      </font>
      <fill>
        <patternFill patternType="solid">
          <fgColor theme="7"/>
          <bgColor theme="7"/>
        </patternFill>
      </fill>
    </dxf>
    <dxf>
      <font>
        <color theme="1"/>
      </font>
      <border>
        <left style="thin">
          <color theme="7"/>
        </left>
        <right style="thin">
          <color theme="7"/>
        </right>
        <top style="thin">
          <color theme="7"/>
        </top>
        <bottom style="thin">
          <color theme="7"/>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s>
  <tableStyles count="6" defaultTableStyle="TableStyleMedium2" defaultPivotStyle="PivotStyleLight16">
    <tableStyle name="E4tech Table Style_1" pivot="0" count="9" xr9:uid="{00000000-0011-0000-FFFF-FFFF00000000}">
      <tableStyleElement type="wholeTable" dxfId="47"/>
      <tableStyleElement type="headerRow" dxfId="46"/>
      <tableStyleElement type="totalRow" dxfId="45"/>
      <tableStyleElement type="firstColumn" dxfId="44"/>
      <tableStyleElement type="lastColumn" dxfId="43"/>
      <tableStyleElement type="firstRowStripe" dxfId="42"/>
      <tableStyleElement type="secondRowStripe" dxfId="41"/>
      <tableStyleElement type="firstColumnStripe" dxfId="40"/>
      <tableStyleElement type="secondColumnStripe" dxfId="39"/>
    </tableStyle>
    <tableStyle name="E4tech Table Style_2" pivot="0" count="9" xr9:uid="{00000000-0011-0000-FFFF-FFFF01000000}">
      <tableStyleElement type="wholeTable" dxfId="38"/>
      <tableStyleElement type="headerRow" dxfId="37"/>
      <tableStyleElement type="totalRow" dxfId="36"/>
      <tableStyleElement type="firstColumn" dxfId="35"/>
      <tableStyleElement type="lastColumn" dxfId="34"/>
      <tableStyleElement type="firstRowStripe" dxfId="33"/>
      <tableStyleElement type="secondRowStripe" dxfId="32"/>
      <tableStyleElement type="firstColumnStripe" dxfId="31"/>
      <tableStyleElement type="secondColumnStripe" dxfId="30"/>
    </tableStyle>
    <tableStyle name="E4tech Table Style_3" pivot="0" count="7" xr9:uid="{00000000-0011-0000-FFFF-FFFF02000000}">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E4tech Table Style_4" pivot="0" count="7" xr9:uid="{00000000-0011-0000-FFFF-FFFF03000000}">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E4tech Table Style_5" pivot="0" count="7" xr9:uid="{00000000-0011-0000-FFFF-FFFF04000000}">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 name="E4tech Table Style_6" pivot="0" count="7" xr9:uid="{00000000-0011-0000-FFFF-FFFF05000000}">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s>
  <colors>
    <mruColors>
      <color rgb="FF5B9BD5"/>
      <color rgb="FFFF66CC"/>
      <color rgb="FFFFE6CD"/>
      <color rgb="FF000000"/>
      <color rgb="FF6AB0E0"/>
      <color rgb="FF1B429A"/>
      <color rgb="FFD3CAE0"/>
      <color rgb="FF957FB5"/>
      <color rgb="FF1383BD"/>
      <color rgb="FF8CB5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67235</xdr:colOff>
      <xdr:row>1</xdr:row>
      <xdr:rowOff>44823</xdr:rowOff>
    </xdr:from>
    <xdr:to>
      <xdr:col>5</xdr:col>
      <xdr:colOff>257735</xdr:colOff>
      <xdr:row>25</xdr:row>
      <xdr:rowOff>78440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295835" y="235323"/>
          <a:ext cx="5048250" cy="410079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0</xdr:colOff>
      <xdr:row>2</xdr:row>
      <xdr:rowOff>0</xdr:rowOff>
    </xdr:from>
    <xdr:to>
      <xdr:col>2</xdr:col>
      <xdr:colOff>1737471</xdr:colOff>
      <xdr:row>5</xdr:row>
      <xdr:rowOff>126688</xdr:rowOff>
    </xdr:to>
    <xdr:pic>
      <xdr:nvPicPr>
        <xdr:cNvPr id="5" name="Picture 4">
          <a:extLst>
            <a:ext uri="{FF2B5EF4-FFF2-40B4-BE49-F238E27FC236}">
              <a16:creationId xmlns:a16="http://schemas.microsoft.com/office/drawing/2014/main" id="{4A625604-A624-4396-984C-1CE55391568E}"/>
            </a:ext>
          </a:extLst>
        </xdr:cNvPr>
        <xdr:cNvPicPr>
          <a:picLocks noChangeAspect="1"/>
        </xdr:cNvPicPr>
      </xdr:nvPicPr>
      <xdr:blipFill>
        <a:blip xmlns:r="http://schemas.openxmlformats.org/officeDocument/2006/relationships" r:embed="rId1"/>
        <a:stretch>
          <a:fillRect/>
        </a:stretch>
      </xdr:blipFill>
      <xdr:spPr>
        <a:xfrm>
          <a:off x="685800" y="381000"/>
          <a:ext cx="1737471" cy="698188"/>
        </a:xfrm>
        <a:prstGeom prst="rect">
          <a:avLst/>
        </a:prstGeom>
      </xdr:spPr>
    </xdr:pic>
    <xdr:clientData/>
  </xdr:twoCellAnchor>
  <xdr:twoCellAnchor editAs="oneCell">
    <xdr:from>
      <xdr:col>2</xdr:col>
      <xdr:colOff>1926980</xdr:colOff>
      <xdr:row>1</xdr:row>
      <xdr:rowOff>102576</xdr:rowOff>
    </xdr:from>
    <xdr:to>
      <xdr:col>3</xdr:col>
      <xdr:colOff>366346</xdr:colOff>
      <xdr:row>5</xdr:row>
      <xdr:rowOff>138470</xdr:rowOff>
    </xdr:to>
    <xdr:pic>
      <xdr:nvPicPr>
        <xdr:cNvPr id="6" name="Picture 5">
          <a:extLst>
            <a:ext uri="{FF2B5EF4-FFF2-40B4-BE49-F238E27FC236}">
              <a16:creationId xmlns:a16="http://schemas.microsoft.com/office/drawing/2014/main" id="{E9C91AC6-A092-1A9B-A966-AE715CFD3B8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val="0"/>
            </a:ext>
          </a:extLst>
        </a:blip>
        <a:srcRect r="7966"/>
        <a:stretch/>
      </xdr:blipFill>
      <xdr:spPr bwMode="auto">
        <a:xfrm>
          <a:off x="2615711" y="293076"/>
          <a:ext cx="1164981" cy="797894"/>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16D56EEA-87C0-4648-A836-CAEC028B269B}"/>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FE250B03-4B59-4DA0-8EC7-22058725433E}"/>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E280629-4D7E-4D71-BEC0-C1860DA515D5}"/>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230E0BF9-B119-4C8A-BA1F-D2CEEBDA6AFC}"/>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6" name="TextBox 17">
          <a:extLst>
            <a:ext uri="{FF2B5EF4-FFF2-40B4-BE49-F238E27FC236}">
              <a16:creationId xmlns:a16="http://schemas.microsoft.com/office/drawing/2014/main" id="{DC4D3C91-631E-41E4-8CD1-6784F1FEA3FD}"/>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D5FD1323-F1DF-48CA-B102-7A791A469854}"/>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0273191-EADD-43E3-8E2A-F88683CD5B1F}"/>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A7AD939E-BA78-4E41-A414-E165C15BAAC5}"/>
            </a:ext>
          </a:extLst>
        </xdr:cNvPr>
        <xdr:cNvSpPr txBox="1"/>
      </xdr:nvSpPr>
      <xdr:spPr>
        <a:xfrm>
          <a:off x="357188" y="1785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4466AF71-85BC-47FA-9D60-B5A67B2A64F6}"/>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F59FCD3D-16E7-416A-A88D-698E39EA0C55}"/>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2653889</xdr:colOff>
      <xdr:row>1</xdr:row>
      <xdr:rowOff>790126</xdr:rowOff>
    </xdr:to>
    <xdr:sp macro="" textlink="">
      <xdr:nvSpPr>
        <xdr:cNvPr id="3" name="TextBox 17">
          <a:extLst>
            <a:ext uri="{FF2B5EF4-FFF2-40B4-BE49-F238E27FC236}">
              <a16:creationId xmlns:a16="http://schemas.microsoft.com/office/drawing/2014/main" id="{C9A09EE4-A337-4039-8A27-520A9D868921}"/>
            </a:ext>
          </a:extLst>
        </xdr:cNvPr>
        <xdr:cNvSpPr txBox="1"/>
      </xdr:nvSpPr>
      <xdr:spPr>
        <a:xfrm>
          <a:off x="358588" y="179294"/>
          <a:ext cx="4368389" cy="7901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your </a:t>
          </a:r>
          <a:r>
            <a:rPr lang="en-GB" sz="1100" b="1"/>
            <a:t>pathway. This should not be considered an exhaustive list, and further inputs/outputs relevant to the pathway should be added.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icardoexternal.sharepoint.com/WINDOWS/TEMP/BCK_UP/00deprec.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ermgroup.sharepoint.com/sites/E4Tech-DocumentCo-AuthoringCentre/E4tech%20Consulting/Projects/Current/BEIS-UK-HTA-HECassessors/WP25%20-%20V2%20V3%20Guidance,%20HECs/WIP/HEC/LCHS_UK_HEC_v4.8_FULL.xlsx" TargetMode="External"/><Relationship Id="rId1" Type="http://schemas.openxmlformats.org/officeDocument/2006/relationships/externalLinkPath" Target="https://theermgroup.sharepoint.com/sites/E4Tech-DocumentCo-AuthoringCentre/E4tech%20Consulting/Projects/Current/BEIS-UK-HTA-HECassessors/WP25%20-%20V2%20V3%20Guidance,%20HECs/WIP/HEC/LCHS_UK_HEC_v4.8_FU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reci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Navigation"/>
      <sheetName val="Guidance Initial_questions"/>
      <sheetName val="Guidance Processing"/>
      <sheetName val="Guidance Feedstock dLUC"/>
      <sheetName val="Guidance Summary GHG"/>
      <sheetName val="Initial_questions"/>
      <sheetName val="System_Boundary"/>
      <sheetName val="Dashboard"/>
      <sheetName val="Units"/>
      <sheetName val="Default data"/>
      <sheetName val="Typical data"/>
      <sheetName val="Non Typical data"/>
      <sheetName val="GHG_ELECTROLYSIS"/>
      <sheetName val="GHG_NG_REFORM_CCS"/>
      <sheetName val="GHG_ROG_REFORM_CCS"/>
      <sheetName val="GHG_NG_SPLITTING"/>
      <sheetName val="GHG_BIOMETHANE_REFORM"/>
      <sheetName val="GHG_BIOMASS_GASIFICATION"/>
      <sheetName val="GHG_WASTE_GASIFICATION"/>
      <sheetName val="GHG_GENERIC_OTHER"/>
      <sheetName val="Electrolysis"/>
      <sheetName val="NG_Collection"/>
      <sheetName val="NG_Transport"/>
      <sheetName val="NG_Processing"/>
      <sheetName val="NG_Further_Transport"/>
      <sheetName val="NG_Reforming_CCS"/>
      <sheetName val="NG_Splitting_SolidCarbon"/>
      <sheetName val="ROG_Counterfactual"/>
      <sheetName val="Crude_Collection"/>
      <sheetName val="Crude_Transport"/>
      <sheetName val="Crude_Refine"/>
      <sheetName val="ROG_Processing"/>
      <sheetName val="ROG_Transport"/>
      <sheetName val="ROG_Reforming_CCS"/>
      <sheetName val="Biogas_Feedstock_Cultivation"/>
      <sheetName val="Biogas_Feedstock_Harvesting"/>
      <sheetName val="Biogas_Feedstock_Collection"/>
      <sheetName val="Biogas_Feedstock_Transport"/>
      <sheetName val="Biogas+Biomethane_Upgrading"/>
      <sheetName val="Biomethane_Transport"/>
      <sheetName val="Biomethane_Reforming_CCS"/>
      <sheetName val="Biomass_Cultivation"/>
      <sheetName val="Biomass_Harvesting"/>
      <sheetName val="Biomass_Collection"/>
      <sheetName val="Biomass_Transport"/>
      <sheetName val="Biomass_Pre-Processing"/>
      <sheetName val="Biomass_Further_Transport"/>
      <sheetName val="Biomass_Gasification_CCS"/>
      <sheetName val="Waste_Fossil_Counterfactual"/>
      <sheetName val="Waste_Collection"/>
      <sheetName val="Waste_Transport"/>
      <sheetName val="Waste_Pre-Processing"/>
      <sheetName val="Waste_Further_Transport"/>
      <sheetName val="Waste_Gasification_CCS"/>
      <sheetName val="Generic_Fossil_Counterfactual"/>
      <sheetName val="Generic_Feedstock_Cultivation"/>
      <sheetName val="Generic_Feedstock_Harvesting"/>
      <sheetName val="Generic_Feedstock_Collection"/>
      <sheetName val="Generic_Feedstock_Transport"/>
      <sheetName val="Generic_Pre-Processing"/>
      <sheetName val="Generic_Further_Transport"/>
      <sheetName val="Generic_Conversion"/>
    </sheetNames>
    <sheetDataSet>
      <sheetData sheetId="0"/>
      <sheetData sheetId="1"/>
      <sheetData sheetId="2"/>
      <sheetData sheetId="3"/>
      <sheetData sheetId="4"/>
      <sheetData sheetId="5"/>
      <sheetData sheetId="6"/>
      <sheetData sheetId="7"/>
      <sheetData sheetId="8"/>
      <sheetData sheetId="9">
        <row r="8">
          <cell r="C8">
            <v>3.6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E4Tech_theme">
  <a:themeElements>
    <a:clrScheme name="E4tech colours">
      <a:dk1>
        <a:srgbClr val="000000"/>
      </a:dk1>
      <a:lt1>
        <a:srgbClr val="FFFFFF"/>
      </a:lt1>
      <a:dk2>
        <a:srgbClr val="000098"/>
      </a:dk2>
      <a:lt2>
        <a:srgbClr val="D8D9DB"/>
      </a:lt2>
      <a:accent1>
        <a:srgbClr val="1B429A"/>
      </a:accent1>
      <a:accent2>
        <a:srgbClr val="1383BD"/>
      </a:accent2>
      <a:accent3>
        <a:srgbClr val="6AB0E0"/>
      </a:accent3>
      <a:accent4>
        <a:srgbClr val="957FB5"/>
      </a:accent4>
      <a:accent5>
        <a:srgbClr val="4B8A60"/>
      </a:accent5>
      <a:accent6>
        <a:srgbClr val="8CB57E"/>
      </a:accent6>
      <a:hlink>
        <a:srgbClr val="001D4F"/>
      </a:hlink>
      <a:folHlink>
        <a:srgbClr val="D6DEE2"/>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FF@ricardo.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renewable-transport-fuel-obligation-rtfo-compliance-reporting-and-verification" TargetMode="External"/><Relationship Id="rId7" Type="http://schemas.openxmlformats.org/officeDocument/2006/relationships/comments" Target="../comments1.xml"/><Relationship Id="rId2" Type="http://schemas.openxmlformats.org/officeDocument/2006/relationships/hyperlink" Target="https://www.gov.uk/government/publications/atmospheric-implications-of-increased-hydrogen-use" TargetMode="External"/><Relationship Id="rId1" Type="http://schemas.openxmlformats.org/officeDocument/2006/relationships/hyperlink" Target="https://www.ipcc.ch/site/assets/uploads/2018/02/ar4-wg1-chapter2-1.pdf"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gov.uk/government/publications/renewable-transport-fuel-obligation-rtfo-compliance-reporting-and-verificatio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publications/greenhouse-gas-reporting-conversion-factors-2024" TargetMode="External"/><Relationship Id="rId3" Type="http://schemas.openxmlformats.org/officeDocument/2006/relationships/hyperlink" Target="https://www.gov.uk/government/publications/biofuels-carbon-calculator-rtfo" TargetMode="External"/><Relationship Id="rId7" Type="http://schemas.openxmlformats.org/officeDocument/2006/relationships/hyperlink" Target="https://assets.publishing.service.gov.uk/government/uploads/system/uploads/attachment_data/file/1067394/low-carbon-hydrogen-standard-guidance-data-tables.pdf" TargetMode="External"/><Relationship Id="rId2" Type="http://schemas.openxmlformats.org/officeDocument/2006/relationships/hyperlink" Target="https://ec.europa.eu/jrc/en/publication/eur-scientific-and-technical-research-reports/jec-well-tank-report-v5" TargetMode="External"/><Relationship Id="rId1" Type="http://schemas.openxmlformats.org/officeDocument/2006/relationships/hyperlink" Target="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TargetMode="External"/><Relationship Id="rId6" Type="http://schemas.openxmlformats.org/officeDocument/2006/relationships/hyperlink" Target="http://www.element-energy.co.uk/wordpress/wp-content/uploads/2021/08/Zemo-Low-Carbon-Hydrogen-WTT-Pathways-full-report.pdf" TargetMode="External"/><Relationship Id="rId5" Type="http://schemas.openxmlformats.org/officeDocument/2006/relationships/hyperlink" Target="https://web.archive.org/web/20190605065129/http:/www.arb.ca.gov/fuels/lcfs/workgroups/lcfssustain/ISCC_EU_205_GHG_Calculation_and_GHG_Audit_2.3_eng.pdf" TargetMode="External"/><Relationship Id="rId4" Type="http://schemas.openxmlformats.org/officeDocument/2006/relationships/hyperlink" Target="https://publications.jrc.ec.europa.eu/repository/handle/JRC104759"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79998168889431442"/>
  </sheetPr>
  <dimension ref="A2:T65"/>
  <sheetViews>
    <sheetView showGridLines="0" tabSelected="1" zoomScale="85" zoomScaleNormal="85" workbookViewId="0"/>
  </sheetViews>
  <sheetFormatPr defaultColWidth="7.28515625" defaultRowHeight="15"/>
  <cols>
    <col min="1" max="1" width="6.7109375" customWidth="1"/>
    <col min="2" max="2" width="3.5703125" customWidth="1"/>
    <col min="3" max="3" width="40.85546875" customWidth="1"/>
    <col min="4" max="4" width="81.28515625" customWidth="1"/>
    <col min="5" max="5" width="13.28515625" customWidth="1"/>
    <col min="10" max="16" width="7.28515625" customWidth="1"/>
    <col min="18" max="18" width="6" customWidth="1"/>
    <col min="20" max="20" width="10.5703125" customWidth="1"/>
    <col min="24" max="24" width="17.5703125" customWidth="1"/>
    <col min="25" max="25" width="18.42578125" customWidth="1"/>
    <col min="26" max="26" width="22.7109375" customWidth="1"/>
  </cols>
  <sheetData>
    <row r="2" spans="1:4">
      <c r="A2" t="s">
        <v>285</v>
      </c>
    </row>
    <row r="8" spans="1:4" ht="21">
      <c r="C8" s="176" t="s">
        <v>381</v>
      </c>
    </row>
    <row r="9" spans="1:4" ht="21">
      <c r="C9" s="149"/>
    </row>
    <row r="10" spans="1:4" ht="21">
      <c r="C10" s="149" t="s">
        <v>385</v>
      </c>
      <c r="D10" s="20"/>
    </row>
    <row r="11" spans="1:4" ht="15.75">
      <c r="C11" s="19"/>
      <c r="D11" s="21"/>
    </row>
    <row r="12" spans="1:4">
      <c r="C12" s="24" t="s">
        <v>0</v>
      </c>
      <c r="D12" s="150" t="s">
        <v>205</v>
      </c>
    </row>
    <row r="13" spans="1:4">
      <c r="C13" s="50" t="s">
        <v>1</v>
      </c>
      <c r="D13" s="49"/>
    </row>
    <row r="14" spans="1:4">
      <c r="C14" s="22"/>
      <c r="D14" s="23"/>
    </row>
    <row r="15" spans="1:4">
      <c r="C15" s="24" t="s">
        <v>277</v>
      </c>
      <c r="D15" s="153"/>
    </row>
    <row r="16" spans="1:4">
      <c r="C16" s="24" t="s">
        <v>278</v>
      </c>
      <c r="D16" s="153"/>
    </row>
    <row r="17" spans="3:4">
      <c r="C17" s="24" t="s">
        <v>207</v>
      </c>
      <c r="D17" s="177" t="s">
        <v>386</v>
      </c>
    </row>
    <row r="18" spans="3:4">
      <c r="C18" s="24" t="s">
        <v>322</v>
      </c>
      <c r="D18" s="153"/>
    </row>
    <row r="19" spans="3:4">
      <c r="C19" s="24" t="s">
        <v>279</v>
      </c>
      <c r="D19" s="153"/>
    </row>
    <row r="20" spans="3:4">
      <c r="C20" s="24" t="s">
        <v>280</v>
      </c>
      <c r="D20" s="153"/>
    </row>
    <row r="21" spans="3:4">
      <c r="C21" s="24" t="s">
        <v>191</v>
      </c>
      <c r="D21" s="153"/>
    </row>
    <row r="22" spans="3:4">
      <c r="C22" s="22"/>
      <c r="D22" s="154"/>
    </row>
    <row r="23" spans="3:4">
      <c r="C23" s="24" t="s">
        <v>2</v>
      </c>
      <c r="D23" s="153"/>
    </row>
    <row r="24" spans="3:4">
      <c r="C24" s="24" t="s">
        <v>3</v>
      </c>
      <c r="D24" s="153"/>
    </row>
    <row r="28" spans="3:4">
      <c r="C28" s="24" t="s">
        <v>4</v>
      </c>
    </row>
    <row r="29" spans="3:4">
      <c r="C29" s="27"/>
      <c r="D29" s="26" t="s">
        <v>5</v>
      </c>
    </row>
    <row r="30" spans="3:4">
      <c r="C30" s="33"/>
      <c r="D30" s="26" t="s">
        <v>6</v>
      </c>
    </row>
    <row r="31" spans="3:4">
      <c r="C31" s="72"/>
      <c r="D31" s="26" t="s">
        <v>218</v>
      </c>
    </row>
    <row r="32" spans="3:4">
      <c r="C32" s="26"/>
      <c r="D32" s="26" t="s">
        <v>7</v>
      </c>
    </row>
    <row r="33" spans="3:20">
      <c r="C33" s="119"/>
      <c r="D33" s="26" t="s">
        <v>7</v>
      </c>
    </row>
    <row r="35" spans="3:20">
      <c r="C35" s="24"/>
    </row>
    <row r="36" spans="3:20">
      <c r="C36" s="24" t="s">
        <v>215</v>
      </c>
    </row>
    <row r="37" spans="3:20">
      <c r="C37" s="136" t="s">
        <v>225</v>
      </c>
      <c r="D37" s="184" t="s">
        <v>281</v>
      </c>
      <c r="E37" s="185"/>
      <c r="F37" s="185"/>
      <c r="G37" s="185"/>
      <c r="H37" s="185"/>
      <c r="I37" s="185"/>
      <c r="J37" s="185"/>
      <c r="K37" s="185"/>
      <c r="L37" s="185"/>
      <c r="M37" s="185"/>
      <c r="N37" s="185"/>
      <c r="O37" s="185"/>
      <c r="P37" s="185"/>
      <c r="Q37" s="185"/>
      <c r="R37" s="185"/>
      <c r="S37" s="185"/>
      <c r="T37" s="186"/>
    </row>
    <row r="38" spans="3:20">
      <c r="C38" s="136" t="s">
        <v>8</v>
      </c>
      <c r="D38" s="184" t="s">
        <v>209</v>
      </c>
      <c r="E38" s="185"/>
      <c r="F38" s="185"/>
      <c r="G38" s="185"/>
      <c r="H38" s="185"/>
      <c r="I38" s="185"/>
      <c r="J38" s="185"/>
      <c r="K38" s="185"/>
      <c r="L38" s="185"/>
      <c r="M38" s="185"/>
      <c r="N38" s="185"/>
      <c r="O38" s="185"/>
      <c r="P38" s="185"/>
      <c r="Q38" s="185"/>
      <c r="R38" s="185"/>
      <c r="S38" s="185"/>
      <c r="T38" s="186"/>
    </row>
    <row r="39" spans="3:20">
      <c r="C39" s="136" t="s">
        <v>9</v>
      </c>
      <c r="D39" s="45" t="s">
        <v>217</v>
      </c>
      <c r="E39" s="46"/>
      <c r="F39" s="46"/>
      <c r="G39" s="46"/>
      <c r="H39" s="46"/>
      <c r="I39" s="46"/>
      <c r="J39" s="46"/>
      <c r="K39" s="46"/>
      <c r="L39" s="46"/>
      <c r="M39" s="46"/>
      <c r="N39" s="46"/>
      <c r="O39" s="46"/>
      <c r="P39" s="46"/>
      <c r="Q39" s="46"/>
      <c r="R39" s="46"/>
      <c r="S39" s="46"/>
      <c r="T39" s="47"/>
    </row>
    <row r="40" spans="3:20">
      <c r="C40" s="75" t="s">
        <v>11</v>
      </c>
      <c r="D40" s="34" t="s">
        <v>211</v>
      </c>
      <c r="E40" s="35"/>
      <c r="F40" s="35"/>
      <c r="G40" s="35"/>
      <c r="H40" s="35"/>
      <c r="I40" s="35"/>
      <c r="J40" s="35"/>
      <c r="K40" s="35"/>
      <c r="L40" s="35"/>
      <c r="M40" s="35"/>
      <c r="N40" s="35"/>
      <c r="O40" s="35"/>
      <c r="P40" s="35"/>
      <c r="Q40" s="35"/>
      <c r="R40" s="35"/>
      <c r="S40" s="35"/>
      <c r="T40" s="36"/>
    </row>
    <row r="41" spans="3:20">
      <c r="C41" s="135" t="s">
        <v>10</v>
      </c>
      <c r="D41" s="184" t="s">
        <v>210</v>
      </c>
      <c r="E41" s="185"/>
      <c r="F41" s="185"/>
      <c r="G41" s="185"/>
      <c r="H41" s="185"/>
      <c r="I41" s="185"/>
      <c r="J41" s="185"/>
      <c r="K41" s="185"/>
      <c r="L41" s="185"/>
      <c r="M41" s="185"/>
      <c r="N41" s="185"/>
      <c r="O41" s="185"/>
      <c r="P41" s="185"/>
      <c r="Q41" s="185"/>
      <c r="R41" s="185"/>
      <c r="S41" s="185"/>
      <c r="T41" s="186"/>
    </row>
    <row r="42" spans="3:20">
      <c r="C42" s="135" t="s">
        <v>212</v>
      </c>
      <c r="D42" s="34" t="s">
        <v>226</v>
      </c>
      <c r="E42" s="35"/>
      <c r="F42" s="35"/>
      <c r="G42" s="35"/>
      <c r="H42" s="35"/>
      <c r="I42" s="35"/>
      <c r="J42" s="35"/>
      <c r="K42" s="35"/>
      <c r="L42" s="35"/>
      <c r="M42" s="35"/>
      <c r="N42" s="35"/>
      <c r="O42" s="35"/>
      <c r="P42" s="35"/>
      <c r="Q42" s="35"/>
      <c r="R42" s="35"/>
      <c r="S42" s="35"/>
      <c r="T42" s="36"/>
    </row>
    <row r="43" spans="3:20">
      <c r="C43" s="135" t="s">
        <v>213</v>
      </c>
      <c r="D43" s="34" t="s">
        <v>214</v>
      </c>
      <c r="E43" s="35"/>
      <c r="F43" s="35"/>
      <c r="G43" s="35"/>
      <c r="H43" s="35"/>
      <c r="I43" s="35"/>
      <c r="J43" s="35"/>
      <c r="K43" s="35"/>
      <c r="L43" s="35"/>
      <c r="M43" s="35"/>
      <c r="N43" s="35"/>
      <c r="O43" s="35"/>
      <c r="P43" s="35"/>
      <c r="Q43" s="35"/>
      <c r="R43" s="35"/>
      <c r="S43" s="35"/>
      <c r="T43" s="36"/>
    </row>
    <row r="44" spans="3:20">
      <c r="C44" s="135" t="s">
        <v>12</v>
      </c>
      <c r="D44" s="187" t="s">
        <v>387</v>
      </c>
      <c r="E44" s="188"/>
      <c r="F44" s="188"/>
      <c r="G44" s="188"/>
      <c r="H44" s="188"/>
      <c r="I44" s="188"/>
      <c r="J44" s="188"/>
      <c r="K44" s="188"/>
      <c r="L44" s="188"/>
      <c r="M44" s="188"/>
      <c r="N44" s="188"/>
      <c r="O44" s="188"/>
      <c r="P44" s="188"/>
      <c r="Q44" s="188"/>
      <c r="R44" s="188"/>
      <c r="S44" s="188"/>
      <c r="T44" s="189"/>
    </row>
    <row r="45" spans="3:20">
      <c r="C45" s="135" t="s">
        <v>13</v>
      </c>
      <c r="D45" s="190"/>
      <c r="E45" s="191"/>
      <c r="F45" s="191"/>
      <c r="G45" s="191"/>
      <c r="H45" s="191"/>
      <c r="I45" s="191"/>
      <c r="J45" s="191"/>
      <c r="K45" s="191"/>
      <c r="L45" s="191"/>
      <c r="M45" s="191"/>
      <c r="N45" s="191"/>
      <c r="O45" s="191"/>
      <c r="P45" s="191"/>
      <c r="Q45" s="191"/>
      <c r="R45" s="191"/>
      <c r="S45" s="191"/>
      <c r="T45" s="192"/>
    </row>
    <row r="46" spans="3:20">
      <c r="C46" s="135" t="s">
        <v>14</v>
      </c>
      <c r="D46" s="190"/>
      <c r="E46" s="191"/>
      <c r="F46" s="191"/>
      <c r="G46" s="191"/>
      <c r="H46" s="191"/>
      <c r="I46" s="191"/>
      <c r="J46" s="191"/>
      <c r="K46" s="191"/>
      <c r="L46" s="191"/>
      <c r="M46" s="191"/>
      <c r="N46" s="191"/>
      <c r="O46" s="191"/>
      <c r="P46" s="191"/>
      <c r="Q46" s="191"/>
      <c r="R46" s="191"/>
      <c r="S46" s="191"/>
      <c r="T46" s="192"/>
    </row>
    <row r="47" spans="3:20">
      <c r="C47" s="135" t="s">
        <v>15</v>
      </c>
      <c r="D47" s="190"/>
      <c r="E47" s="191"/>
      <c r="F47" s="191"/>
      <c r="G47" s="191"/>
      <c r="H47" s="191"/>
      <c r="I47" s="191"/>
      <c r="J47" s="191"/>
      <c r="K47" s="191"/>
      <c r="L47" s="191"/>
      <c r="M47" s="191"/>
      <c r="N47" s="191"/>
      <c r="O47" s="191"/>
      <c r="P47" s="191"/>
      <c r="Q47" s="191"/>
      <c r="R47" s="191"/>
      <c r="S47" s="191"/>
      <c r="T47" s="192"/>
    </row>
    <row r="48" spans="3:20">
      <c r="C48" s="135" t="s">
        <v>16</v>
      </c>
      <c r="D48" s="190"/>
      <c r="E48" s="191"/>
      <c r="F48" s="191"/>
      <c r="G48" s="191"/>
      <c r="H48" s="191"/>
      <c r="I48" s="191"/>
      <c r="J48" s="191"/>
      <c r="K48" s="191"/>
      <c r="L48" s="191"/>
      <c r="M48" s="191"/>
      <c r="N48" s="191"/>
      <c r="O48" s="191"/>
      <c r="P48" s="191"/>
      <c r="Q48" s="191"/>
      <c r="R48" s="191"/>
      <c r="S48" s="191"/>
      <c r="T48" s="192"/>
    </row>
    <row r="49" spans="3:20">
      <c r="C49" s="135" t="s">
        <v>17</v>
      </c>
      <c r="D49" s="190"/>
      <c r="E49" s="191"/>
      <c r="F49" s="191"/>
      <c r="G49" s="191"/>
      <c r="H49" s="191"/>
      <c r="I49" s="191"/>
      <c r="J49" s="191"/>
      <c r="K49" s="191"/>
      <c r="L49" s="191"/>
      <c r="M49" s="191"/>
      <c r="N49" s="191"/>
      <c r="O49" s="191"/>
      <c r="P49" s="191"/>
      <c r="Q49" s="191"/>
      <c r="R49" s="191"/>
      <c r="S49" s="191"/>
      <c r="T49" s="192"/>
    </row>
    <row r="50" spans="3:20">
      <c r="C50" s="135" t="s">
        <v>309</v>
      </c>
      <c r="D50" s="190"/>
      <c r="E50" s="191"/>
      <c r="F50" s="191"/>
      <c r="G50" s="191"/>
      <c r="H50" s="191"/>
      <c r="I50" s="191"/>
      <c r="J50" s="191"/>
      <c r="K50" s="191"/>
      <c r="L50" s="191"/>
      <c r="M50" s="191"/>
      <c r="N50" s="191"/>
      <c r="O50" s="191"/>
      <c r="P50" s="191"/>
      <c r="Q50" s="191"/>
      <c r="R50" s="191"/>
      <c r="S50" s="191"/>
      <c r="T50" s="192"/>
    </row>
    <row r="51" spans="3:20">
      <c r="C51" s="135" t="s">
        <v>18</v>
      </c>
      <c r="D51" s="190"/>
      <c r="E51" s="191"/>
      <c r="F51" s="191"/>
      <c r="G51" s="191"/>
      <c r="H51" s="191"/>
      <c r="I51" s="191"/>
      <c r="J51" s="191"/>
      <c r="K51" s="191"/>
      <c r="L51" s="191"/>
      <c r="M51" s="191"/>
      <c r="N51" s="191"/>
      <c r="O51" s="191"/>
      <c r="P51" s="191"/>
      <c r="Q51" s="191"/>
      <c r="R51" s="191"/>
      <c r="S51" s="191"/>
      <c r="T51" s="192"/>
    </row>
    <row r="52" spans="3:20">
      <c r="C52" s="135" t="s">
        <v>19</v>
      </c>
      <c r="D52" s="190"/>
      <c r="E52" s="191"/>
      <c r="F52" s="191"/>
      <c r="G52" s="191"/>
      <c r="H52" s="191"/>
      <c r="I52" s="191"/>
      <c r="J52" s="191"/>
      <c r="K52" s="191"/>
      <c r="L52" s="191"/>
      <c r="M52" s="191"/>
      <c r="N52" s="191"/>
      <c r="O52" s="191"/>
      <c r="P52" s="191"/>
      <c r="Q52" s="191"/>
      <c r="R52" s="191"/>
      <c r="S52" s="191"/>
      <c r="T52" s="192"/>
    </row>
    <row r="53" spans="3:20">
      <c r="C53" s="135" t="s">
        <v>20</v>
      </c>
      <c r="D53" s="190"/>
      <c r="E53" s="191"/>
      <c r="F53" s="191"/>
      <c r="G53" s="191"/>
      <c r="H53" s="191"/>
      <c r="I53" s="191"/>
      <c r="J53" s="191"/>
      <c r="K53" s="191"/>
      <c r="L53" s="191"/>
      <c r="M53" s="191"/>
      <c r="N53" s="191"/>
      <c r="O53" s="191"/>
      <c r="P53" s="191"/>
      <c r="Q53" s="191"/>
      <c r="R53" s="191"/>
      <c r="S53" s="191"/>
      <c r="T53" s="192"/>
    </row>
    <row r="54" spans="3:20">
      <c r="C54" s="135" t="s">
        <v>204</v>
      </c>
      <c r="D54" s="193"/>
      <c r="E54" s="194"/>
      <c r="F54" s="194"/>
      <c r="G54" s="194"/>
      <c r="H54" s="194"/>
      <c r="I54" s="194"/>
      <c r="J54" s="194"/>
      <c r="K54" s="194"/>
      <c r="L54" s="194"/>
      <c r="M54" s="194"/>
      <c r="N54" s="194"/>
      <c r="O54" s="194"/>
      <c r="P54" s="194"/>
      <c r="Q54" s="194"/>
      <c r="R54" s="194"/>
      <c r="S54" s="194"/>
      <c r="T54" s="195"/>
    </row>
    <row r="57" spans="3:20">
      <c r="C57" s="24" t="s">
        <v>223</v>
      </c>
    </row>
    <row r="58" spans="3:20" s="132" customFormat="1" ht="14.45" customHeight="1">
      <c r="C58" s="196" t="s">
        <v>274</v>
      </c>
      <c r="D58" s="197"/>
      <c r="E58" s="197"/>
      <c r="F58" s="197"/>
      <c r="G58" s="197"/>
      <c r="H58" s="197"/>
      <c r="I58" s="197"/>
      <c r="J58" s="197"/>
      <c r="K58" s="197"/>
      <c r="L58" s="197"/>
      <c r="M58" s="197"/>
      <c r="N58" s="197"/>
      <c r="O58" s="197"/>
      <c r="P58" s="197"/>
      <c r="Q58" s="197"/>
      <c r="R58" s="197"/>
      <c r="S58" s="197"/>
      <c r="T58" s="198"/>
    </row>
    <row r="59" spans="3:20" s="132" customFormat="1" ht="14.45" customHeight="1">
      <c r="C59" s="178" t="s">
        <v>342</v>
      </c>
      <c r="D59" s="179"/>
      <c r="E59" s="179"/>
      <c r="F59" s="179"/>
      <c r="G59" s="179"/>
      <c r="H59" s="179"/>
      <c r="I59" s="179"/>
      <c r="J59" s="179"/>
      <c r="K59" s="179"/>
      <c r="L59" s="179"/>
      <c r="M59" s="179"/>
      <c r="N59" s="179"/>
      <c r="O59" s="179"/>
      <c r="P59" s="179"/>
      <c r="Q59" s="179"/>
      <c r="R59" s="179"/>
      <c r="S59" s="179"/>
      <c r="T59" s="180"/>
    </row>
    <row r="60" spans="3:20" s="132" customFormat="1" ht="14.45" customHeight="1">
      <c r="C60" s="178" t="s">
        <v>224</v>
      </c>
      <c r="D60" s="179"/>
      <c r="E60" s="179"/>
      <c r="F60" s="179"/>
      <c r="G60" s="179"/>
      <c r="H60" s="179"/>
      <c r="I60" s="179"/>
      <c r="J60" s="179"/>
      <c r="K60" s="179"/>
      <c r="L60" s="179"/>
      <c r="M60" s="179"/>
      <c r="N60" s="179"/>
      <c r="O60" s="179"/>
      <c r="P60" s="179"/>
      <c r="Q60" s="179"/>
      <c r="R60" s="179"/>
      <c r="S60" s="179"/>
      <c r="T60" s="180"/>
    </row>
    <row r="61" spans="3:20" s="132" customFormat="1" ht="29.45" customHeight="1">
      <c r="C61" s="181" t="s">
        <v>275</v>
      </c>
      <c r="D61" s="182"/>
      <c r="E61" s="182"/>
      <c r="F61" s="182"/>
      <c r="G61" s="182"/>
      <c r="H61" s="182"/>
      <c r="I61" s="182"/>
      <c r="J61" s="182"/>
      <c r="K61" s="182"/>
      <c r="L61" s="182"/>
      <c r="M61" s="182"/>
      <c r="N61" s="182"/>
      <c r="O61" s="182"/>
      <c r="P61" s="182"/>
      <c r="Q61" s="182"/>
      <c r="R61" s="182"/>
      <c r="S61" s="182"/>
      <c r="T61" s="183"/>
    </row>
    <row r="64" spans="3:20">
      <c r="C64" s="51" t="s">
        <v>185</v>
      </c>
    </row>
    <row r="65" spans="3:20">
      <c r="C65" s="133" t="s">
        <v>388</v>
      </c>
      <c r="D65" s="26" t="s">
        <v>389</v>
      </c>
      <c r="E65" s="199"/>
      <c r="F65" s="199"/>
      <c r="G65" s="199"/>
      <c r="H65" s="199"/>
      <c r="I65" s="199"/>
      <c r="J65" s="199"/>
      <c r="K65" s="199"/>
      <c r="L65" s="199"/>
      <c r="M65" s="199"/>
      <c r="N65" s="199"/>
      <c r="O65" s="199"/>
      <c r="P65" s="199"/>
      <c r="Q65" s="199"/>
      <c r="R65" s="199"/>
      <c r="S65" s="199"/>
      <c r="T65" s="134"/>
    </row>
  </sheetData>
  <mergeCells count="8">
    <mergeCell ref="C60:T60"/>
    <mergeCell ref="C61:T61"/>
    <mergeCell ref="C59:T59"/>
    <mergeCell ref="D37:T37"/>
    <mergeCell ref="D41:T41"/>
    <mergeCell ref="D44:T54"/>
    <mergeCell ref="D38:T38"/>
    <mergeCell ref="C58:T58"/>
  </mergeCells>
  <dataValidations count="1">
    <dataValidation type="list" allowBlank="1" showInputMessage="1" showErrorMessage="1" sqref="D21" xr:uid="{00000000-0002-0000-0000-000000000000}">
      <formula1>"Biofuel, RFNBO, Nuclear, RCF"</formula1>
    </dataValidation>
  </dataValidations>
  <hyperlinks>
    <hyperlink ref="D12" r:id="rId1" xr:uid="{BB5EE59C-0C26-48AC-A95C-D13B449330EF}"/>
    <hyperlink ref="C39" location="Assumptions!A1" display="Assumptions" xr:uid="{521F1C35-DA4B-4F30-8027-817030A9E065}"/>
    <hyperlink ref="C38" location="Units!A1" display="Units" xr:uid="{71E2F4E7-3023-481B-B15E-737AD2F0ED9E}"/>
    <hyperlink ref="C41" location="'System Boundary'!A1" display="System boundary" xr:uid="{5628AEF2-5B50-43CC-B817-013BE4EC1F10}"/>
    <hyperlink ref="C40" location="Summary!A1" display="Summary" xr:uid="{E9330285-6A97-4AE2-8343-E3ABE91DA913}"/>
    <hyperlink ref="C42" location="'Additional evidence'!A1" display="Additional evidence" xr:uid="{E77FB7D1-4345-4864-BD1D-50D9BC6441B3}"/>
    <hyperlink ref="C43" location="'RCF counterfactual'!A1" display="RCF counterfactual" xr:uid="{5227B914-BCC8-41F0-B2B8-55244A7DC6CF}"/>
    <hyperlink ref="C37" location="Guidance!A1" display="Guidance" xr:uid="{FB930C57-C5BE-4A19-8E28-26228E8C93B7}"/>
  </hyperlinks>
  <pageMargins left="0.70000000000000007" right="0.70000000000000007" top="0.75" bottom="0.75" header="0.30000000000000004" footer="0.30000000000000004"/>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B2:Z58"/>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'Feedstock transport'!C17</f>
        <v>e.g. Forestry residue chips</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41"/>
      <c r="X16" s="141"/>
      <c r="Y16" s="141"/>
      <c r="Z16" s="3"/>
    </row>
    <row r="17" spans="2:26">
      <c r="B17" s="9" t="s">
        <v>175</v>
      </c>
      <c r="C17" s="144" t="s">
        <v>267</v>
      </c>
      <c r="D17" s="8" t="s">
        <v>244</v>
      </c>
      <c r="E17" s="158"/>
      <c r="F17" s="157"/>
      <c r="G17" s="157"/>
      <c r="H17" s="157"/>
      <c r="I17" s="157" t="s">
        <v>176</v>
      </c>
      <c r="J17" s="158"/>
      <c r="K17" s="157"/>
      <c r="L17" s="157"/>
      <c r="M17" s="157"/>
      <c r="N17" s="14"/>
      <c r="O17" s="37">
        <f t="shared" ref="O17:O38" si="4">IF($D17="MWh/yr (LHV)",$E17,$J17*$E17*(1-$L17)/3.6)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249</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 t="shared" si="5"/>
        <v/>
      </c>
      <c r="T18" s="175"/>
      <c r="U18" s="175"/>
      <c r="V18" s="175"/>
      <c r="W18" s="147"/>
      <c r="Y18" s="13"/>
    </row>
    <row r="19" spans="2:26" s="6" customFormat="1">
      <c r="B19" s="143" t="s">
        <v>179</v>
      </c>
      <c r="C19" s="144" t="s">
        <v>250</v>
      </c>
      <c r="D19" s="8" t="s">
        <v>244</v>
      </c>
      <c r="E19" s="158"/>
      <c r="F19" s="157"/>
      <c r="G19" s="157"/>
      <c r="H19" s="159"/>
      <c r="I19" s="159"/>
      <c r="J19" s="159"/>
      <c r="K19" s="159"/>
      <c r="L19" s="159"/>
      <c r="M19" s="159"/>
      <c r="N19" s="14"/>
      <c r="O19" s="37">
        <f t="shared" si="4"/>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8"/>
      <c r="F20" s="157"/>
      <c r="G20" s="157"/>
      <c r="H20" s="159"/>
      <c r="I20" s="159"/>
      <c r="J20" s="159"/>
      <c r="K20" s="159"/>
      <c r="L20" s="159"/>
      <c r="M20" s="159"/>
      <c r="N20" s="14"/>
      <c r="O20" s="37">
        <f t="shared" si="4"/>
        <v>0</v>
      </c>
      <c r="P20" s="3"/>
      <c r="Q20" s="3"/>
      <c r="R20" s="37">
        <f>IF($D20="MWh/yr (LHV)",$E20,$E20*MAX(0, $J20*(1-$L20)-2.441*$L20)/kWh_to_MJ)</f>
        <v>0</v>
      </c>
      <c r="S20" s="173" t="str">
        <f t="shared" si="5"/>
        <v/>
      </c>
      <c r="T20" s="175"/>
      <c r="U20" s="175"/>
      <c r="V20" s="175"/>
      <c r="W20" s="147"/>
      <c r="Y20" s="13"/>
    </row>
    <row r="21" spans="2:26" s="6" customFormat="1">
      <c r="B21" s="143" t="s">
        <v>361</v>
      </c>
      <c r="C21" s="144" t="s">
        <v>362</v>
      </c>
      <c r="D21" s="8" t="s">
        <v>245</v>
      </c>
      <c r="E21" s="158"/>
      <c r="F21" s="157"/>
      <c r="G21" s="157"/>
      <c r="H21" s="159"/>
      <c r="I21" s="159"/>
      <c r="J21" s="162" t="s">
        <v>172</v>
      </c>
      <c r="K21" s="162"/>
      <c r="L21" s="162" t="s">
        <v>172</v>
      </c>
      <c r="M21" s="159"/>
      <c r="N21" s="163"/>
      <c r="O21" s="37">
        <f t="shared" si="4"/>
        <v>0</v>
      </c>
      <c r="P21" s="3"/>
      <c r="Q21" s="3"/>
      <c r="R21" s="37">
        <f>IF($D21="MWh/yr (LHV)",$E21,$E21*MAX(0, $J21*(1-$L21)-2.441*$L21)/kWh_to_MJ)</f>
        <v>0</v>
      </c>
      <c r="S21" s="173" t="str">
        <f t="shared" si="5"/>
        <v/>
      </c>
      <c r="T21" s="175"/>
      <c r="U21" s="175"/>
      <c r="V21" s="175"/>
      <c r="W21" s="147"/>
      <c r="Y21" s="13"/>
    </row>
    <row r="22" spans="2:26" s="6" customFormat="1">
      <c r="B22" s="143" t="s">
        <v>339</v>
      </c>
      <c r="C22" s="144" t="s">
        <v>356</v>
      </c>
      <c r="D22" s="8" t="s">
        <v>245</v>
      </c>
      <c r="E22" s="158"/>
      <c r="F22" s="157"/>
      <c r="G22" s="157"/>
      <c r="H22" s="159"/>
      <c r="I22" s="159"/>
      <c r="J22" s="162" t="s">
        <v>172</v>
      </c>
      <c r="K22" s="162"/>
      <c r="L22" s="162" t="s">
        <v>172</v>
      </c>
      <c r="M22" s="159"/>
      <c r="N22" s="158" t="s">
        <v>337</v>
      </c>
      <c r="O22" s="37">
        <f t="shared" si="4"/>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340</v>
      </c>
      <c r="C23" s="144" t="s">
        <v>357</v>
      </c>
      <c r="D23" s="8" t="s">
        <v>245</v>
      </c>
      <c r="E23" s="157"/>
      <c r="F23" s="157"/>
      <c r="G23" s="157"/>
      <c r="H23" s="159"/>
      <c r="I23" s="159"/>
      <c r="J23" s="158" t="s">
        <v>338</v>
      </c>
      <c r="K23" s="159"/>
      <c r="L23" s="162">
        <v>0</v>
      </c>
      <c r="M23" s="159"/>
      <c r="N23" s="158" t="s">
        <v>337</v>
      </c>
      <c r="O23" s="37">
        <f t="shared" si="4"/>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6">IF(B24="", "", IF(D24="MWh/yr (LHV)", "Use column to right", "Enter data here"))</f>
        <v>Enter data here</v>
      </c>
      <c r="U24" s="162" t="str">
        <f t="shared" ref="U24:U28" si="7">IF(B24="", "", IF(D24="MWh/yr (LHV)", "Enter data here", "Use column to left"))</f>
        <v>Use column to left</v>
      </c>
      <c r="V24" s="158" t="s">
        <v>305</v>
      </c>
      <c r="W24" s="145" t="str">
        <f t="shared" ref="W24:W28" si="8">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6"/>
        <v>Enter data here</v>
      </c>
      <c r="U25" s="162" t="str">
        <f t="shared" si="7"/>
        <v>Use column to left</v>
      </c>
      <c r="V25" s="158" t="s">
        <v>305</v>
      </c>
      <c r="W25" s="145" t="str">
        <f t="shared" si="8"/>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6"/>
        <v>Enter data here</v>
      </c>
      <c r="U26" s="162" t="str">
        <f t="shared" si="7"/>
        <v>Use column to left</v>
      </c>
      <c r="V26" s="158" t="s">
        <v>305</v>
      </c>
      <c r="W26" s="145" t="str">
        <f t="shared" si="8"/>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6"/>
        <v>Enter data here</v>
      </c>
      <c r="U27" s="162" t="str">
        <f t="shared" si="7"/>
        <v>Use column to left</v>
      </c>
      <c r="V27" s="158" t="s">
        <v>305</v>
      </c>
      <c r="W27" s="145" t="str">
        <f t="shared" si="8"/>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6"/>
        <v>Enter data here</v>
      </c>
      <c r="U28" s="162" t="str">
        <f t="shared" si="7"/>
        <v>Use column to left</v>
      </c>
      <c r="V28" s="158" t="s">
        <v>305</v>
      </c>
      <c r="W28" s="145" t="str">
        <f t="shared" si="8"/>
        <v>Unfilled fields on left</v>
      </c>
      <c r="Y28" s="13"/>
    </row>
    <row r="29" spans="2:26" s="6" customFormat="1">
      <c r="B29" s="143" t="s">
        <v>375</v>
      </c>
      <c r="C29" s="144" t="s">
        <v>368</v>
      </c>
      <c r="D29" s="8" t="s">
        <v>244</v>
      </c>
      <c r="E29" s="157"/>
      <c r="F29" s="157"/>
      <c r="G29" s="157"/>
      <c r="H29" s="159"/>
      <c r="I29" s="159"/>
      <c r="J29" s="159"/>
      <c r="K29" s="159"/>
      <c r="L29" s="159"/>
      <c r="M29" s="159"/>
      <c r="N29" s="14"/>
      <c r="O29" s="37">
        <f t="shared" si="4"/>
        <v>0</v>
      </c>
      <c r="P29" s="3"/>
      <c r="Q29" s="3"/>
      <c r="R29" s="3"/>
      <c r="S29" s="3"/>
      <c r="T29" s="158">
        <v>0</v>
      </c>
      <c r="U29" s="15"/>
      <c r="V29" s="158" t="s">
        <v>271</v>
      </c>
      <c r="W29" s="145" t="str">
        <f>IFERROR(IF(D29="tonnes/yr", $T29*$E29/($O$17*3.6), $U29*$E29*3.6/($O$17*3.6)), "Unfilled fields on left")</f>
        <v>Unfilled fields on left</v>
      </c>
      <c r="Y29" s="13"/>
    </row>
    <row r="30" spans="2:26" s="6" customFormat="1">
      <c r="B30" s="143" t="s">
        <v>375</v>
      </c>
      <c r="C30" s="144" t="s">
        <v>369</v>
      </c>
      <c r="D30" s="8" t="s">
        <v>244</v>
      </c>
      <c r="E30" s="157"/>
      <c r="F30" s="157"/>
      <c r="G30" s="157"/>
      <c r="H30" s="159"/>
      <c r="I30" s="159"/>
      <c r="J30" s="159"/>
      <c r="K30" s="159"/>
      <c r="L30" s="159"/>
      <c r="M30" s="159"/>
      <c r="N30" s="14"/>
      <c r="O30" s="37">
        <f t="shared" si="4"/>
        <v>0</v>
      </c>
      <c r="P30" s="3"/>
      <c r="Q30" s="3"/>
      <c r="R30" s="3"/>
      <c r="S30" s="3"/>
      <c r="T30" s="158">
        <v>0</v>
      </c>
      <c r="U30" s="15"/>
      <c r="V30" s="158" t="s">
        <v>367</v>
      </c>
      <c r="W30" s="145" t="str">
        <f>IFERROR(IF(D30="tonnes/yr", $T30*$E30/($O$17*3.6), $U30*$E30*3.6/($O$17*3.6)), "Unfilled fields on left")</f>
        <v>Unfilled fields on left</v>
      </c>
      <c r="Y30" s="13"/>
    </row>
    <row r="31" spans="2:26" s="6" customFormat="1">
      <c r="B31" s="143" t="s">
        <v>375</v>
      </c>
      <c r="C31" s="144" t="s">
        <v>370</v>
      </c>
      <c r="D31" s="8" t="s">
        <v>244</v>
      </c>
      <c r="E31" s="157"/>
      <c r="F31" s="157"/>
      <c r="G31" s="157"/>
      <c r="H31" s="159"/>
      <c r="I31" s="159"/>
      <c r="J31" s="159"/>
      <c r="K31" s="159"/>
      <c r="L31" s="159"/>
      <c r="M31" s="159"/>
      <c r="N31" s="14"/>
      <c r="O31" s="37">
        <f t="shared" si="4"/>
        <v>0</v>
      </c>
      <c r="P31" s="3"/>
      <c r="Q31" s="3"/>
      <c r="R31" s="3"/>
      <c r="S31" s="3"/>
      <c r="T31" s="158">
        <v>1000</v>
      </c>
      <c r="U31" s="15"/>
      <c r="V31" s="158" t="s">
        <v>371</v>
      </c>
      <c r="W31" s="145" t="str">
        <f>IFERROR(IF(D31="tonnes/yr", $T31*$E31/($O$17*3.6), $U31*$E31*3.6/($O$17*3.6)), "Unfilled fields on left")</f>
        <v>Unfilled fields on left</v>
      </c>
      <c r="Y31" s="13"/>
    </row>
    <row r="32" spans="2:26" s="6" customFormat="1">
      <c r="B32" s="143" t="s">
        <v>373</v>
      </c>
      <c r="C32" s="144" t="s">
        <v>268</v>
      </c>
      <c r="D32" s="8" t="s">
        <v>244</v>
      </c>
      <c r="E32" s="157"/>
      <c r="F32" s="157"/>
      <c r="G32" s="157"/>
      <c r="H32" s="159"/>
      <c r="I32" s="159"/>
      <c r="J32" s="159"/>
      <c r="K32" s="159"/>
      <c r="L32" s="159"/>
      <c r="M32" s="159"/>
      <c r="N32" s="14"/>
      <c r="O32" s="37">
        <f t="shared" si="4"/>
        <v>0</v>
      </c>
      <c r="P32" s="3"/>
      <c r="Q32" s="3"/>
      <c r="R32" s="3"/>
      <c r="S32" s="3"/>
      <c r="T32" s="158">
        <v>-1000</v>
      </c>
      <c r="U32" s="15"/>
      <c r="V32" s="158" t="s">
        <v>372</v>
      </c>
      <c r="W32" s="145" t="str">
        <f>IFERROR(IF(D32="tonnes/yr", $T32*$E32/($O$17*3.6), $U32*$E32*3.6/($O$17*3.6)), "Unfilled fields on left")</f>
        <v>Unfilled fields on left</v>
      </c>
      <c r="Y32" s="13"/>
    </row>
    <row r="33" spans="2:26" s="6" customFormat="1">
      <c r="B33" s="143" t="s">
        <v>373</v>
      </c>
      <c r="C33" s="144" t="s">
        <v>269</v>
      </c>
      <c r="D33" s="8" t="s">
        <v>244</v>
      </c>
      <c r="E33" s="157"/>
      <c r="F33" s="157"/>
      <c r="G33" s="157"/>
      <c r="H33" s="159"/>
      <c r="I33" s="159"/>
      <c r="J33" s="159"/>
      <c r="K33" s="159"/>
      <c r="L33" s="159"/>
      <c r="M33" s="159"/>
      <c r="N33" s="14"/>
      <c r="O33" s="37">
        <f t="shared" si="4"/>
        <v>0</v>
      </c>
      <c r="P33" s="3"/>
      <c r="Q33" s="3"/>
      <c r="R33" s="3"/>
      <c r="S33" s="3"/>
      <c r="T33" s="158">
        <v>-1000</v>
      </c>
      <c r="U33" s="15"/>
      <c r="V33" s="158" t="s">
        <v>377</v>
      </c>
      <c r="W33" s="145" t="str">
        <f>IFERROR(IF(D33="tonnes/yr", $T33*$E33/($O$17*3.6), $U33*$E33*3.6/($O$17*3.6)), "Unfilled fields on left")</f>
        <v>Unfilled fields on left</v>
      </c>
      <c r="Y33" s="13"/>
    </row>
    <row r="34" spans="2:26">
      <c r="B34" s="143" t="s">
        <v>374</v>
      </c>
      <c r="C34" s="144" t="s">
        <v>378</v>
      </c>
      <c r="D34" s="8" t="s">
        <v>244</v>
      </c>
      <c r="E34" s="157"/>
      <c r="F34" s="157"/>
      <c r="G34" s="157"/>
      <c r="H34" s="159"/>
      <c r="I34" s="159"/>
      <c r="J34" s="159"/>
      <c r="K34" s="159"/>
      <c r="L34" s="159"/>
      <c r="M34" s="159"/>
      <c r="N34" s="14"/>
      <c r="O34" s="37">
        <f t="shared" si="4"/>
        <v>0</v>
      </c>
      <c r="P34" s="3"/>
      <c r="T34" s="158">
        <v>-1000</v>
      </c>
      <c r="U34" s="15"/>
      <c r="V34" s="158" t="s">
        <v>379</v>
      </c>
      <c r="W34" s="145" t="str">
        <f t="shared" ref="W34:W37" si="9">IFERROR(IF(D34="tonnes/yr", $T34*$E34/($O$17*3.6), $U34*$E34*3.6/($O$17*3.6)), "Unfilled fields on left")</f>
        <v>Unfilled fields on left</v>
      </c>
      <c r="X34" s="6"/>
      <c r="Y34" s="13"/>
      <c r="Z34" s="3"/>
    </row>
    <row r="35" spans="2:26">
      <c r="B35" s="143" t="s">
        <v>374</v>
      </c>
      <c r="C35" s="144" t="s">
        <v>366</v>
      </c>
      <c r="D35" s="8" t="s">
        <v>244</v>
      </c>
      <c r="E35" s="157"/>
      <c r="F35" s="157"/>
      <c r="G35" s="157"/>
      <c r="H35" s="159"/>
      <c r="I35" s="159"/>
      <c r="J35" s="159"/>
      <c r="K35" s="159"/>
      <c r="L35" s="159"/>
      <c r="M35" s="159"/>
      <c r="N35" s="14"/>
      <c r="O35" s="37">
        <f t="shared" si="4"/>
        <v>0</v>
      </c>
      <c r="P35" s="3"/>
      <c r="T35" s="158">
        <v>0</v>
      </c>
      <c r="U35" s="15"/>
      <c r="V35" s="158" t="s">
        <v>365</v>
      </c>
      <c r="W35" s="145" t="str">
        <f t="shared" si="9"/>
        <v>Unfilled fields on left</v>
      </c>
      <c r="X35" s="6"/>
      <c r="Y35" s="13"/>
      <c r="Z35" s="3"/>
    </row>
    <row r="36" spans="2:26">
      <c r="B36" s="143" t="s">
        <v>376</v>
      </c>
      <c r="C36" s="144" t="s">
        <v>253</v>
      </c>
      <c r="D36" s="8" t="s">
        <v>244</v>
      </c>
      <c r="E36" s="157"/>
      <c r="F36" s="157"/>
      <c r="G36" s="157"/>
      <c r="H36" s="159"/>
      <c r="I36" s="159"/>
      <c r="J36" s="159"/>
      <c r="K36" s="159"/>
      <c r="L36" s="159"/>
      <c r="M36" s="159"/>
      <c r="N36" s="14"/>
      <c r="O36" s="37">
        <f t="shared" si="4"/>
        <v>0</v>
      </c>
      <c r="P36" s="3"/>
      <c r="T36" s="158">
        <v>28000</v>
      </c>
      <c r="U36" s="15"/>
      <c r="V36" s="158" t="s">
        <v>256</v>
      </c>
      <c r="W36" s="145" t="str">
        <f t="shared" si="9"/>
        <v>Unfilled fields on left</v>
      </c>
      <c r="X36" s="6"/>
      <c r="Y36" s="13"/>
      <c r="Z36" s="3"/>
    </row>
    <row r="37" spans="2:26">
      <c r="B37" s="143" t="s">
        <v>376</v>
      </c>
      <c r="C37" s="144" t="s">
        <v>254</v>
      </c>
      <c r="D37" s="8" t="s">
        <v>244</v>
      </c>
      <c r="E37" s="157"/>
      <c r="F37" s="157"/>
      <c r="G37" s="157"/>
      <c r="H37" s="159"/>
      <c r="I37" s="159"/>
      <c r="J37" s="159"/>
      <c r="K37" s="159"/>
      <c r="L37" s="159"/>
      <c r="M37" s="159"/>
      <c r="N37" s="14"/>
      <c r="O37" s="37">
        <f t="shared" si="4"/>
        <v>0</v>
      </c>
      <c r="P37" s="3"/>
      <c r="T37" s="158">
        <v>265000</v>
      </c>
      <c r="U37" s="15"/>
      <c r="V37" s="158" t="s">
        <v>256</v>
      </c>
      <c r="W37" s="145" t="str">
        <f t="shared" si="9"/>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6"/>
      <c r="W38" s="145" t="str">
        <f t="shared" ref="W38" si="10">IFERROR(IF(D38="tonnes/yr", $T38*$E38/($O$17*3.6), $U38*$E38*3.6/($O$17*3.6)), "Unfilled fields on left")</f>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sheetData>
  <dataValidations count="1">
    <dataValidation type="list" allowBlank="1" showInputMessage="1" showErrorMessage="1" sqref="D5:D14 D17:D38" xr:uid="{E5DDD3D1-B932-4D52-9AD2-BEF3BEA38C02}">
      <formula1>"tonnes/yr, MWh/yr (LHV)"</formula1>
    </dataValidation>
  </dataValidations>
  <pageMargins left="0.70000000000000007" right="0.70000000000000007" top="0.75" bottom="0.75" header="0.30000000000000004" footer="0.30000000000000004"/>
  <pageSetup paperSize="9" orientation="portrait" r:id="rId1"/>
  <ignoredErrors>
    <ignoredError sqref="P15:W16 P20:S20 P38:W38 P27:W28 W29:W37 P5:W14 P17:W19 P21:W26 O15:O16 O5:O14 O17:O38" unlocked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'Pre-processing'!C17</f>
        <v>e.g. Forestry residue pellets</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41"/>
      <c r="X16" s="141"/>
      <c r="Y16" s="141"/>
      <c r="Z16" s="3"/>
    </row>
    <row r="17" spans="2:26">
      <c r="B17" s="9" t="s">
        <v>175</v>
      </c>
      <c r="C17" s="144" t="s">
        <v>267</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8"/>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6"/>
      <c r="U29" s="15"/>
      <c r="V29" s="16"/>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E62D1ABF-2CE6-469D-B309-503EA421C07C}">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B2:Z59"/>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'Intermediate transport'!C17</f>
        <v>e.g. Forestry residue pellets</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184</v>
      </c>
      <c r="D17" s="8" t="s">
        <v>244</v>
      </c>
      <c r="E17" s="158"/>
      <c r="F17" s="157"/>
      <c r="G17" s="157"/>
      <c r="H17" s="157"/>
      <c r="I17" s="157" t="s">
        <v>176</v>
      </c>
      <c r="J17" s="158"/>
      <c r="K17" s="157"/>
      <c r="L17" s="157"/>
      <c r="M17" s="157"/>
      <c r="N17" s="14"/>
      <c r="O17" s="37">
        <f t="shared" ref="O17:O38" si="4">IF($D17="MWh/yr (LHV)",$E17,$J17*$E17*(1-$L17)/3.6)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272</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 t="shared" si="5"/>
        <v/>
      </c>
      <c r="T18" s="175"/>
      <c r="U18" s="175"/>
      <c r="V18" s="175"/>
      <c r="W18" s="147"/>
      <c r="Y18" s="13"/>
    </row>
    <row r="19" spans="2:26" s="6" customFormat="1">
      <c r="B19" s="143" t="s">
        <v>179</v>
      </c>
      <c r="C19" s="144" t="s">
        <v>364</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7"/>
      <c r="F20" s="157"/>
      <c r="G20" s="157"/>
      <c r="H20" s="159"/>
      <c r="I20" s="159"/>
      <c r="J20" s="159"/>
      <c r="K20" s="159"/>
      <c r="L20" s="159"/>
      <c r="M20" s="159"/>
      <c r="N20" s="14"/>
      <c r="O20" s="37">
        <f t="shared" si="4"/>
        <v>0</v>
      </c>
      <c r="P20" s="3"/>
      <c r="Q20" s="3"/>
      <c r="R20" s="37">
        <f>IF($D20="MWh/yr (LHV)",$E20,$E20*MAX(0, $J20*(1-$L20)-2.441*$L20)/kWh_to_MJ)</f>
        <v>0</v>
      </c>
      <c r="S20" s="173" t="str">
        <f t="shared" si="5"/>
        <v/>
      </c>
      <c r="T20" s="175"/>
      <c r="U20" s="175"/>
      <c r="V20" s="175"/>
      <c r="W20" s="147"/>
      <c r="Y20" s="13"/>
    </row>
    <row r="21" spans="2:26" s="6" customFormat="1">
      <c r="B21" s="143" t="s">
        <v>361</v>
      </c>
      <c r="C21" s="144" t="s">
        <v>362</v>
      </c>
      <c r="D21" s="8" t="s">
        <v>245</v>
      </c>
      <c r="E21" s="158"/>
      <c r="F21" s="157"/>
      <c r="G21" s="157"/>
      <c r="H21" s="159"/>
      <c r="I21" s="159"/>
      <c r="J21" s="162" t="s">
        <v>172</v>
      </c>
      <c r="K21" s="162"/>
      <c r="L21" s="162" t="s">
        <v>172</v>
      </c>
      <c r="M21" s="159"/>
      <c r="N21" s="163"/>
      <c r="O21" s="37">
        <f t="shared" si="4"/>
        <v>0</v>
      </c>
      <c r="P21" s="3"/>
      <c r="Q21" s="3"/>
      <c r="R21" s="37">
        <f>IF($D21="MWh/yr (LHV)",$E21,$E21*MAX(0, $J21*(1-$L21)-2.441*$L21)/kWh_to_MJ)</f>
        <v>0</v>
      </c>
      <c r="S21" s="173" t="str">
        <f t="shared" si="5"/>
        <v/>
      </c>
      <c r="T21" s="175"/>
      <c r="U21" s="175"/>
      <c r="V21" s="175"/>
      <c r="W21" s="147"/>
      <c r="Y21" s="13"/>
    </row>
    <row r="22" spans="2:26" s="6" customFormat="1">
      <c r="B22" s="143" t="s">
        <v>339</v>
      </c>
      <c r="C22" s="144" t="s">
        <v>356</v>
      </c>
      <c r="D22" s="8" t="s">
        <v>245</v>
      </c>
      <c r="E22" s="158"/>
      <c r="F22" s="157"/>
      <c r="G22" s="157"/>
      <c r="H22" s="159"/>
      <c r="I22" s="159"/>
      <c r="J22" s="162" t="s">
        <v>172</v>
      </c>
      <c r="K22" s="162"/>
      <c r="L22" s="162" t="s">
        <v>172</v>
      </c>
      <c r="M22" s="159"/>
      <c r="N22" s="158" t="s">
        <v>337</v>
      </c>
      <c r="O22" s="37">
        <f t="shared" si="4"/>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340</v>
      </c>
      <c r="C23" s="144" t="s">
        <v>357</v>
      </c>
      <c r="D23" s="8" t="s">
        <v>245</v>
      </c>
      <c r="E23" s="157"/>
      <c r="F23" s="157"/>
      <c r="G23" s="157"/>
      <c r="H23" s="159"/>
      <c r="I23" s="159"/>
      <c r="J23" s="158" t="s">
        <v>338</v>
      </c>
      <c r="K23" s="159"/>
      <c r="L23" s="162">
        <v>0</v>
      </c>
      <c r="M23" s="159"/>
      <c r="N23" s="158" t="s">
        <v>337</v>
      </c>
      <c r="O23" s="37">
        <f t="shared" si="4"/>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6">IF(B24="", "", IF(D24="MWh/yr (LHV)", "Use column to right", "Enter data here"))</f>
        <v>Enter data here</v>
      </c>
      <c r="U24" s="162" t="str">
        <f t="shared" ref="U24:U28" si="7">IF(B24="", "", IF(D24="MWh/yr (LHV)", "Enter data here", "Use column to left"))</f>
        <v>Use column to left</v>
      </c>
      <c r="V24" s="158" t="s">
        <v>305</v>
      </c>
      <c r="W24" s="145" t="str">
        <f t="shared" ref="W24:W28" si="8">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6"/>
        <v>Enter data here</v>
      </c>
      <c r="U25" s="162" t="str">
        <f t="shared" si="7"/>
        <v>Use column to left</v>
      </c>
      <c r="V25" s="158" t="s">
        <v>305</v>
      </c>
      <c r="W25" s="145" t="str">
        <f t="shared" si="8"/>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6"/>
        <v>Enter data here</v>
      </c>
      <c r="U26" s="162" t="str">
        <f t="shared" si="7"/>
        <v>Use column to left</v>
      </c>
      <c r="V26" s="158" t="s">
        <v>305</v>
      </c>
      <c r="W26" s="145" t="str">
        <f t="shared" si="8"/>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6"/>
        <v>Enter data here</v>
      </c>
      <c r="U27" s="162" t="str">
        <f t="shared" si="7"/>
        <v>Use column to left</v>
      </c>
      <c r="V27" s="158" t="s">
        <v>305</v>
      </c>
      <c r="W27" s="145" t="str">
        <f t="shared" si="8"/>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6"/>
        <v>Enter data here</v>
      </c>
      <c r="U28" s="162" t="str">
        <f t="shared" si="7"/>
        <v>Use column to left</v>
      </c>
      <c r="V28" s="158" t="s">
        <v>305</v>
      </c>
      <c r="W28" s="145" t="str">
        <f t="shared" si="8"/>
        <v>Unfilled fields on left</v>
      </c>
      <c r="Y28" s="13"/>
    </row>
    <row r="29" spans="2:26" s="6" customFormat="1">
      <c r="B29" s="143" t="s">
        <v>375</v>
      </c>
      <c r="C29" s="144" t="s">
        <v>368</v>
      </c>
      <c r="D29" s="8" t="s">
        <v>244</v>
      </c>
      <c r="E29" s="157"/>
      <c r="F29" s="157"/>
      <c r="G29" s="157"/>
      <c r="H29" s="159"/>
      <c r="I29" s="159"/>
      <c r="J29" s="159"/>
      <c r="K29" s="159"/>
      <c r="L29" s="159"/>
      <c r="M29" s="159"/>
      <c r="N29" s="14"/>
      <c r="O29" s="37">
        <f t="shared" si="4"/>
        <v>0</v>
      </c>
      <c r="P29" s="3"/>
      <c r="Q29" s="3"/>
      <c r="R29" s="3"/>
      <c r="S29" s="3"/>
      <c r="T29" s="158">
        <v>0</v>
      </c>
      <c r="U29" s="175"/>
      <c r="V29" s="158" t="s">
        <v>271</v>
      </c>
      <c r="W29" s="145" t="str">
        <f>IFERROR(IF(D29="tonnes/yr", $T29*$E29/($O$17*3.6), $U29*$E29*3.6/($O$17*3.6)), "Unfilled fields on left")</f>
        <v>Unfilled fields on left</v>
      </c>
      <c r="Y29" s="13"/>
    </row>
    <row r="30" spans="2:26" s="6" customFormat="1">
      <c r="B30" s="143" t="s">
        <v>375</v>
      </c>
      <c r="C30" s="144" t="s">
        <v>369</v>
      </c>
      <c r="D30" s="8" t="s">
        <v>244</v>
      </c>
      <c r="E30" s="157"/>
      <c r="F30" s="157"/>
      <c r="G30" s="157"/>
      <c r="H30" s="159"/>
      <c r="I30" s="159"/>
      <c r="J30" s="159"/>
      <c r="K30" s="159"/>
      <c r="L30" s="159"/>
      <c r="M30" s="159"/>
      <c r="N30" s="14"/>
      <c r="O30" s="37">
        <f t="shared" si="4"/>
        <v>0</v>
      </c>
      <c r="P30" s="3"/>
      <c r="Q30" s="3"/>
      <c r="R30" s="3"/>
      <c r="S30" s="3"/>
      <c r="T30" s="158">
        <v>0</v>
      </c>
      <c r="U30" s="175"/>
      <c r="V30" s="158" t="s">
        <v>367</v>
      </c>
      <c r="W30" s="145" t="str">
        <f>IFERROR(IF(D30="tonnes/yr", $T30*$E30/($O$17*3.6), $U30*$E30*3.6/($O$17*3.6)), "Unfilled fields on left")</f>
        <v>Unfilled fields on left</v>
      </c>
      <c r="Y30" s="13"/>
    </row>
    <row r="31" spans="2:26" s="6" customFormat="1">
      <c r="B31" s="143" t="s">
        <v>375</v>
      </c>
      <c r="C31" s="144" t="s">
        <v>370</v>
      </c>
      <c r="D31" s="8" t="s">
        <v>244</v>
      </c>
      <c r="E31" s="157"/>
      <c r="F31" s="157"/>
      <c r="G31" s="157"/>
      <c r="H31" s="159"/>
      <c r="I31" s="159"/>
      <c r="J31" s="159"/>
      <c r="K31" s="159"/>
      <c r="L31" s="159"/>
      <c r="M31" s="159"/>
      <c r="N31" s="14"/>
      <c r="O31" s="37">
        <f t="shared" si="4"/>
        <v>0</v>
      </c>
      <c r="P31" s="3"/>
      <c r="Q31" s="3"/>
      <c r="R31" s="3"/>
      <c r="S31" s="3"/>
      <c r="T31" s="158">
        <v>1000</v>
      </c>
      <c r="U31" s="175"/>
      <c r="V31" s="158" t="s">
        <v>371</v>
      </c>
      <c r="W31" s="145" t="str">
        <f>IFERROR(IF(D31="tonnes/yr", $T31*$E31/($O$17*3.6), $U31*$E31*3.6/($O$17*3.6)), "Unfilled fields on left")</f>
        <v>Unfilled fields on left</v>
      </c>
      <c r="Y31" s="13"/>
    </row>
    <row r="32" spans="2:26" s="6" customFormat="1">
      <c r="B32" s="143" t="s">
        <v>373</v>
      </c>
      <c r="C32" s="144" t="s">
        <v>268</v>
      </c>
      <c r="D32" s="8" t="s">
        <v>244</v>
      </c>
      <c r="E32" s="157"/>
      <c r="F32" s="157"/>
      <c r="G32" s="157"/>
      <c r="H32" s="159"/>
      <c r="I32" s="159"/>
      <c r="J32" s="159"/>
      <c r="K32" s="159"/>
      <c r="L32" s="159"/>
      <c r="M32" s="159"/>
      <c r="N32" s="14"/>
      <c r="O32" s="37">
        <f t="shared" si="4"/>
        <v>0</v>
      </c>
      <c r="P32" s="3"/>
      <c r="Q32" s="3"/>
      <c r="R32" s="3"/>
      <c r="S32" s="3"/>
      <c r="T32" s="158">
        <v>-1000</v>
      </c>
      <c r="U32" s="175"/>
      <c r="V32" s="158" t="s">
        <v>372</v>
      </c>
      <c r="W32" s="145" t="str">
        <f>IFERROR(IF(D32="tonnes/yr", $T32*$E32/($O$17*3.6), $U32*$E32*3.6/($O$17*3.6)), "Unfilled fields on left")</f>
        <v>Unfilled fields on left</v>
      </c>
      <c r="Y32" s="13"/>
    </row>
    <row r="33" spans="2:26" s="6" customFormat="1">
      <c r="B33" s="143" t="s">
        <v>373</v>
      </c>
      <c r="C33" s="144" t="s">
        <v>269</v>
      </c>
      <c r="D33" s="8" t="s">
        <v>244</v>
      </c>
      <c r="E33" s="157"/>
      <c r="F33" s="157"/>
      <c r="G33" s="157"/>
      <c r="H33" s="159"/>
      <c r="I33" s="159"/>
      <c r="J33" s="159"/>
      <c r="K33" s="159"/>
      <c r="L33" s="159"/>
      <c r="M33" s="159"/>
      <c r="N33" s="14"/>
      <c r="O33" s="37">
        <f t="shared" si="4"/>
        <v>0</v>
      </c>
      <c r="P33" s="3"/>
      <c r="Q33" s="3"/>
      <c r="R33" s="3"/>
      <c r="S33" s="3"/>
      <c r="T33" s="158">
        <v>-1000</v>
      </c>
      <c r="U33" s="175"/>
      <c r="V33" s="158" t="s">
        <v>377</v>
      </c>
      <c r="W33" s="145" t="str">
        <f>IFERROR(IF(D33="tonnes/yr", $T33*$E33/($O$17*3.6), $U33*$E33*3.6/($O$17*3.6)), "Unfilled fields on left")</f>
        <v>Unfilled fields on left</v>
      </c>
      <c r="Y33" s="13"/>
    </row>
    <row r="34" spans="2:26">
      <c r="B34" s="143" t="s">
        <v>374</v>
      </c>
      <c r="C34" s="144" t="s">
        <v>378</v>
      </c>
      <c r="D34" s="8" t="s">
        <v>244</v>
      </c>
      <c r="E34" s="157"/>
      <c r="F34" s="157"/>
      <c r="G34" s="157"/>
      <c r="H34" s="159"/>
      <c r="I34" s="159"/>
      <c r="J34" s="159"/>
      <c r="K34" s="159"/>
      <c r="L34" s="159"/>
      <c r="M34" s="159"/>
      <c r="N34" s="14"/>
      <c r="O34" s="37">
        <f t="shared" si="4"/>
        <v>0</v>
      </c>
      <c r="P34" s="3"/>
      <c r="T34" s="158">
        <v>-1000</v>
      </c>
      <c r="U34" s="175"/>
      <c r="V34" s="158" t="s">
        <v>379</v>
      </c>
      <c r="W34" s="145" t="str">
        <f t="shared" ref="W34:W37" si="9">IFERROR(IF(D34="tonnes/yr", $T34*$E34/($O$17*3.6), $U34*$E34*3.6/($O$17*3.6)), "Unfilled fields on left")</f>
        <v>Unfilled fields on left</v>
      </c>
      <c r="X34" s="6"/>
      <c r="Y34" s="13"/>
      <c r="Z34" s="3"/>
    </row>
    <row r="35" spans="2:26">
      <c r="B35" s="143" t="s">
        <v>374</v>
      </c>
      <c r="C35" s="144" t="s">
        <v>366</v>
      </c>
      <c r="D35" s="8" t="s">
        <v>244</v>
      </c>
      <c r="E35" s="157"/>
      <c r="F35" s="157"/>
      <c r="G35" s="157"/>
      <c r="H35" s="159"/>
      <c r="I35" s="159"/>
      <c r="J35" s="159"/>
      <c r="K35" s="159"/>
      <c r="L35" s="159"/>
      <c r="M35" s="159"/>
      <c r="N35" s="14"/>
      <c r="O35" s="37">
        <f t="shared" si="4"/>
        <v>0</v>
      </c>
      <c r="P35" s="3"/>
      <c r="T35" s="158">
        <v>0</v>
      </c>
      <c r="U35" s="175"/>
      <c r="V35" s="158" t="s">
        <v>365</v>
      </c>
      <c r="W35" s="145" t="str">
        <f t="shared" si="9"/>
        <v>Unfilled fields on left</v>
      </c>
      <c r="X35" s="6"/>
      <c r="Y35" s="13"/>
      <c r="Z35" s="3"/>
    </row>
    <row r="36" spans="2:26">
      <c r="B36" s="143" t="s">
        <v>376</v>
      </c>
      <c r="C36" s="144" t="s">
        <v>253</v>
      </c>
      <c r="D36" s="8" t="s">
        <v>244</v>
      </c>
      <c r="E36" s="157"/>
      <c r="F36" s="157"/>
      <c r="G36" s="157"/>
      <c r="H36" s="159"/>
      <c r="I36" s="159"/>
      <c r="J36" s="159"/>
      <c r="K36" s="159"/>
      <c r="L36" s="159"/>
      <c r="M36" s="159"/>
      <c r="N36" s="14"/>
      <c r="O36" s="37">
        <f t="shared" si="4"/>
        <v>0</v>
      </c>
      <c r="P36" s="3"/>
      <c r="T36" s="158">
        <v>28000</v>
      </c>
      <c r="U36" s="175"/>
      <c r="V36" s="158" t="s">
        <v>256</v>
      </c>
      <c r="W36" s="145" t="str">
        <f t="shared" si="9"/>
        <v>Unfilled fields on left</v>
      </c>
      <c r="X36" s="6"/>
      <c r="Y36" s="13"/>
      <c r="Z36" s="3"/>
    </row>
    <row r="37" spans="2:26">
      <c r="B37" s="143" t="s">
        <v>376</v>
      </c>
      <c r="C37" s="144" t="s">
        <v>254</v>
      </c>
      <c r="D37" s="8" t="s">
        <v>244</v>
      </c>
      <c r="E37" s="157"/>
      <c r="F37" s="157"/>
      <c r="G37" s="157"/>
      <c r="H37" s="159"/>
      <c r="I37" s="159"/>
      <c r="J37" s="159"/>
      <c r="K37" s="159"/>
      <c r="L37" s="159"/>
      <c r="M37" s="159"/>
      <c r="N37" s="14"/>
      <c r="O37" s="37">
        <f t="shared" si="4"/>
        <v>0</v>
      </c>
      <c r="P37" s="3"/>
      <c r="T37" s="158">
        <v>265000</v>
      </c>
      <c r="U37" s="15"/>
      <c r="V37" s="158" t="s">
        <v>256</v>
      </c>
      <c r="W37" s="145" t="str">
        <f t="shared" si="9"/>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6"/>
      <c r="W38" s="145" t="str">
        <f t="shared" ref="W38" si="10">IFERROR(IF(D38="tonnes/yr", $T38*$E38/($O$17*3.6), $U38*$E38*3.6/($O$17*3.6)), "Unfilled fields on left")</f>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row r="59" spans="5:8">
      <c r="E59" s="3"/>
      <c r="H59" s="3"/>
    </row>
  </sheetData>
  <sheetProtection formatColumns="0" formatRows="0" insertRows="0" deleteRows="0"/>
  <dataValidations count="1">
    <dataValidation type="list" allowBlank="1" showInputMessage="1" showErrorMessage="1" sqref="D5:D14 D17:D38" xr:uid="{229CD3C3-50D1-42C0-B331-23DF1EE5B4DC}">
      <formula1>"tonnes/yr, MWh/yr (LHV)"</formula1>
    </dataValidation>
  </dataValidations>
  <pageMargins left="0.70000000000000007" right="0.70000000000000007" top="0.75" bottom="0.75" header="0.30000000000000004" footer="0.30000000000000004"/>
  <pageSetup paperSize="9" orientation="portrait" r:id="rId1"/>
  <ignoredErrors>
    <ignoredError sqref="P38:W38 P5:W21 P29:W37 P23:W28 P22:Q22 S22:W22 O5:O38" unlockedFormula="1"/>
  </ignoredError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Conversion!C17</f>
        <v>e.g. FT waxes</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61"/>
      <c r="X16" s="141"/>
      <c r="Y16" s="141"/>
      <c r="Z16" s="3"/>
    </row>
    <row r="17" spans="2:26">
      <c r="B17" s="9" t="s">
        <v>175</v>
      </c>
      <c r="C17" s="144" t="s">
        <v>184</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58"/>
      <c r="U31" s="175"/>
      <c r="V31" s="158"/>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58"/>
      <c r="U32" s="175"/>
      <c r="V32" s="158"/>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C7C3EE57-5175-47BE-B711-751375A9BB62}">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sheetPr>
  <dimension ref="B2:Z58"/>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'Further transport'!C17</f>
        <v>e.g. FT waxes</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4"/>
      <c r="T15" s="160"/>
      <c r="U15" s="160"/>
      <c r="V15" s="160"/>
      <c r="W15" s="146"/>
      <c r="Y15" s="18"/>
      <c r="Z15" s="3"/>
    </row>
    <row r="16" spans="2:26">
      <c r="B16" s="142" t="s">
        <v>174</v>
      </c>
      <c r="C16" s="138"/>
      <c r="D16" s="138"/>
      <c r="E16" s="168"/>
      <c r="F16" s="169"/>
      <c r="G16" s="170"/>
      <c r="H16" s="161"/>
      <c r="I16" s="161"/>
      <c r="J16" s="161"/>
      <c r="K16" s="161"/>
      <c r="L16" s="161"/>
      <c r="M16" s="161"/>
      <c r="N16" s="141"/>
      <c r="O16" s="14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8" si="4">IF($D17="MWh/yr (LHV)",$E17,$J17*$E17*(1-$L17)/3.6)</f>
        <v>0</v>
      </c>
      <c r="P17" s="174" t="str">
        <f>IFERROR(O17/O5,"")</f>
        <v/>
      </c>
      <c r="R17" s="37">
        <f>IF($D17="MWh/yr (LHV)",$E17,$E17*MAX(0, $J17*(1-$L17)-2.441*$L17)/kWh_to_MJ)</f>
        <v>0</v>
      </c>
      <c r="S17" s="173" t="str">
        <f t="shared" ref="S17:S23" si="5">IFERROR(R17/(SUM($R$17:$R$23)),"")</f>
        <v/>
      </c>
      <c r="T17" s="175"/>
      <c r="U17" s="175"/>
      <c r="V17" s="175"/>
      <c r="W17" s="147"/>
      <c r="Y17" s="13"/>
      <c r="Z17" s="3"/>
    </row>
    <row r="18" spans="2:26" s="6" customFormat="1">
      <c r="B18" s="143" t="s">
        <v>179</v>
      </c>
      <c r="C18" s="144" t="s">
        <v>272</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 t="shared" si="5"/>
        <v/>
      </c>
      <c r="T18" s="175"/>
      <c r="U18" s="175"/>
      <c r="V18" s="175"/>
      <c r="W18" s="147"/>
      <c r="Y18" s="13"/>
    </row>
    <row r="19" spans="2:26" s="6" customFormat="1">
      <c r="B19" s="143" t="s">
        <v>179</v>
      </c>
      <c r="C19" s="144" t="s">
        <v>173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 t="shared" si="5"/>
        <v/>
      </c>
      <c r="T19" s="175"/>
      <c r="U19" s="175"/>
      <c r="V19" s="175"/>
      <c r="W19" s="147"/>
      <c r="Y19" s="13"/>
    </row>
    <row r="20" spans="2:26" s="6" customFormat="1">
      <c r="B20" s="143" t="s">
        <v>179</v>
      </c>
      <c r="C20" s="144"/>
      <c r="D20" s="8" t="s">
        <v>244</v>
      </c>
      <c r="E20" s="157"/>
      <c r="F20" s="157"/>
      <c r="G20" s="157"/>
      <c r="H20" s="159"/>
      <c r="I20" s="159"/>
      <c r="J20" s="159"/>
      <c r="K20" s="159"/>
      <c r="L20" s="159"/>
      <c r="M20" s="159"/>
      <c r="N20" s="14"/>
      <c r="O20" s="37">
        <f t="shared" si="4"/>
        <v>0</v>
      </c>
      <c r="P20" s="3"/>
      <c r="Q20" s="3"/>
      <c r="R20" s="37">
        <f>IF($D20="MWh/yr (LHV)",$E20,$E20*MAX(0, $J20*(1-$L20)-2.441*$L20)/kWh_to_MJ)</f>
        <v>0</v>
      </c>
      <c r="S20" s="173" t="str">
        <f t="shared" si="5"/>
        <v/>
      </c>
      <c r="T20" s="175"/>
      <c r="U20" s="175"/>
      <c r="V20" s="175"/>
      <c r="W20" s="147"/>
      <c r="Y20" s="13"/>
    </row>
    <row r="21" spans="2:26" s="6" customFormat="1">
      <c r="B21" s="143" t="s">
        <v>361</v>
      </c>
      <c r="C21" s="144" t="s">
        <v>362</v>
      </c>
      <c r="D21" s="8" t="s">
        <v>245</v>
      </c>
      <c r="E21" s="158"/>
      <c r="F21" s="157"/>
      <c r="G21" s="157"/>
      <c r="H21" s="159"/>
      <c r="I21" s="159"/>
      <c r="J21" s="162" t="s">
        <v>172</v>
      </c>
      <c r="K21" s="162"/>
      <c r="L21" s="162" t="s">
        <v>172</v>
      </c>
      <c r="M21" s="159"/>
      <c r="N21" s="163"/>
      <c r="O21" s="37">
        <f t="shared" si="4"/>
        <v>0</v>
      </c>
      <c r="P21" s="3"/>
      <c r="Q21" s="3"/>
      <c r="R21" s="37">
        <f>IF($D21="MWh/yr (LHV)",$E21,$E21*MAX(0, $J21*(1-$L21)-2.441*$L21)/kWh_to_MJ)</f>
        <v>0</v>
      </c>
      <c r="S21" s="173" t="str">
        <f t="shared" si="5"/>
        <v/>
      </c>
      <c r="T21" s="175"/>
      <c r="U21" s="175"/>
      <c r="V21" s="175"/>
      <c r="W21" s="147"/>
      <c r="Y21" s="13"/>
    </row>
    <row r="22" spans="2:26" s="6" customFormat="1">
      <c r="B22" s="143" t="s">
        <v>339</v>
      </c>
      <c r="C22" s="144" t="s">
        <v>356</v>
      </c>
      <c r="D22" s="8" t="s">
        <v>245</v>
      </c>
      <c r="E22" s="158"/>
      <c r="F22" s="157"/>
      <c r="G22" s="157"/>
      <c r="H22" s="159"/>
      <c r="I22" s="159"/>
      <c r="J22" s="162" t="s">
        <v>172</v>
      </c>
      <c r="K22" s="162"/>
      <c r="L22" s="162" t="s">
        <v>172</v>
      </c>
      <c r="M22" s="159"/>
      <c r="N22" s="158" t="s">
        <v>337</v>
      </c>
      <c r="O22" s="37">
        <f t="shared" si="4"/>
        <v>0</v>
      </c>
      <c r="P22" s="3"/>
      <c r="Q22" s="3"/>
      <c r="R22" s="37">
        <f>IF($D22="MWh/yr (LHV)",$E22,$E22*MAX(0, $J22*(1-$L22)-2.441*$L22)/kWh_to_MJ)*IF(OR(N22="", NOT(ISNUMBER(N22))), 1, (N22)/(N22+273.15))</f>
        <v>0</v>
      </c>
      <c r="S22" s="173" t="str">
        <f t="shared" si="5"/>
        <v/>
      </c>
      <c r="T22" s="175"/>
      <c r="U22" s="175"/>
      <c r="V22" s="175"/>
      <c r="W22" s="147"/>
      <c r="Y22" s="13"/>
    </row>
    <row r="23" spans="2:26" s="6" customFormat="1">
      <c r="B23" s="143" t="s">
        <v>340</v>
      </c>
      <c r="C23" s="144" t="s">
        <v>357</v>
      </c>
      <c r="D23" s="8" t="s">
        <v>245</v>
      </c>
      <c r="E23" s="157"/>
      <c r="F23" s="157"/>
      <c r="G23" s="157"/>
      <c r="H23" s="159"/>
      <c r="I23" s="159"/>
      <c r="J23" s="158" t="s">
        <v>338</v>
      </c>
      <c r="K23" s="159"/>
      <c r="L23" s="162">
        <v>0</v>
      </c>
      <c r="M23" s="159"/>
      <c r="N23" s="158" t="s">
        <v>337</v>
      </c>
      <c r="O23" s="37">
        <f t="shared" si="4"/>
        <v>0</v>
      </c>
      <c r="P23" s="3"/>
      <c r="Q23" s="3"/>
      <c r="R23" s="37">
        <f>IF($D23="MWh/yr (LHV)",$E23,$E23*MAX(0, $J23*(1-$L23)-2.441*$L23)/kWh_to_MJ)*IF(OR(N23="", NOT(ISNUMBER(N23))), 1, (N23)/(N23+273.15))</f>
        <v>0</v>
      </c>
      <c r="S23" s="173" t="str">
        <f t="shared" si="5"/>
        <v/>
      </c>
      <c r="T23" s="175"/>
      <c r="U23" s="175"/>
      <c r="V23" s="175"/>
      <c r="W23" s="147"/>
      <c r="Y23" s="13"/>
    </row>
    <row r="24" spans="2:26" s="6" customFormat="1">
      <c r="B24" s="143" t="s">
        <v>177</v>
      </c>
      <c r="C24" s="144" t="s">
        <v>251</v>
      </c>
      <c r="D24" s="8" t="s">
        <v>244</v>
      </c>
      <c r="E24" s="157"/>
      <c r="F24" s="157"/>
      <c r="G24" s="157"/>
      <c r="H24" s="159"/>
      <c r="I24" s="159"/>
      <c r="J24" s="159"/>
      <c r="K24" s="159"/>
      <c r="L24" s="159"/>
      <c r="M24" s="159"/>
      <c r="N24" s="14"/>
      <c r="O24" s="37">
        <f t="shared" si="4"/>
        <v>0</v>
      </c>
      <c r="P24" s="3"/>
      <c r="Q24" s="3"/>
      <c r="R24" s="3"/>
      <c r="S24" s="3"/>
      <c r="T24" s="162" t="str">
        <f t="shared" ref="T24:T28" si="6">IF(B24="", "", IF(D24="MWh/yr (LHV)", "Use column to right", "Enter data here"))</f>
        <v>Enter data here</v>
      </c>
      <c r="U24" s="162" t="str">
        <f t="shared" ref="U24:U28" si="7">IF(B24="", "", IF(D24="MWh/yr (LHV)", "Enter data here", "Use column to left"))</f>
        <v>Use column to left</v>
      </c>
      <c r="V24" s="158" t="s">
        <v>305</v>
      </c>
      <c r="W24" s="145" t="str">
        <f t="shared" ref="W24:W28" si="8">IFERROR(IF(D24="tonnes/yr", $T24*$E24/($O$17*3.6), $U24*$E24*3.6/($O$17*3.6)), "Unfilled fields on left")</f>
        <v>Unfilled fields on left</v>
      </c>
      <c r="Y24" s="13"/>
    </row>
    <row r="25" spans="2:26" s="6" customFormat="1">
      <c r="B25" s="143" t="s">
        <v>177</v>
      </c>
      <c r="C25" s="144" t="s">
        <v>273</v>
      </c>
      <c r="D25" s="8" t="s">
        <v>244</v>
      </c>
      <c r="E25" s="157"/>
      <c r="F25" s="157"/>
      <c r="G25" s="157"/>
      <c r="H25" s="159"/>
      <c r="I25" s="159"/>
      <c r="J25" s="159"/>
      <c r="K25" s="159"/>
      <c r="L25" s="159"/>
      <c r="M25" s="159"/>
      <c r="N25" s="14"/>
      <c r="O25" s="37">
        <f t="shared" si="4"/>
        <v>0</v>
      </c>
      <c r="P25" s="3"/>
      <c r="Q25" s="3"/>
      <c r="R25" s="3"/>
      <c r="S25" s="3"/>
      <c r="T25" s="162" t="str">
        <f t="shared" si="6"/>
        <v>Enter data here</v>
      </c>
      <c r="U25" s="162" t="str">
        <f t="shared" si="7"/>
        <v>Use column to left</v>
      </c>
      <c r="V25" s="158" t="s">
        <v>305</v>
      </c>
      <c r="W25" s="145" t="str">
        <f t="shared" si="8"/>
        <v>Unfilled fields on left</v>
      </c>
      <c r="Y25" s="13"/>
    </row>
    <row r="26" spans="2:26" s="6" customFormat="1">
      <c r="B26" s="143" t="s">
        <v>177</v>
      </c>
      <c r="C26" s="144" t="s">
        <v>260</v>
      </c>
      <c r="D26" s="8" t="s">
        <v>244</v>
      </c>
      <c r="E26" s="158"/>
      <c r="F26" s="157"/>
      <c r="G26" s="157"/>
      <c r="H26" s="159"/>
      <c r="I26" s="162"/>
      <c r="J26" s="162"/>
      <c r="K26" s="159"/>
      <c r="L26" s="159"/>
      <c r="M26" s="159"/>
      <c r="N26" s="14"/>
      <c r="O26" s="37">
        <f t="shared" si="4"/>
        <v>0</v>
      </c>
      <c r="P26" s="3"/>
      <c r="Q26" s="3"/>
      <c r="R26" s="3"/>
      <c r="S26" s="3"/>
      <c r="T26" s="162" t="str">
        <f t="shared" si="6"/>
        <v>Enter data here</v>
      </c>
      <c r="U26" s="162" t="str">
        <f t="shared" si="7"/>
        <v>Use column to left</v>
      </c>
      <c r="V26" s="158" t="s">
        <v>305</v>
      </c>
      <c r="W26" s="145" t="str">
        <f t="shared" si="8"/>
        <v>Unfilled fields on left</v>
      </c>
      <c r="Y26" s="13"/>
    </row>
    <row r="27" spans="2:26" s="6" customFormat="1">
      <c r="B27" s="143" t="s">
        <v>180</v>
      </c>
      <c r="C27" s="144" t="s">
        <v>252</v>
      </c>
      <c r="D27" s="8" t="s">
        <v>244</v>
      </c>
      <c r="E27" s="157"/>
      <c r="F27" s="157"/>
      <c r="G27" s="157"/>
      <c r="H27" s="159"/>
      <c r="I27" s="159"/>
      <c r="J27" s="159"/>
      <c r="K27" s="159"/>
      <c r="L27" s="159"/>
      <c r="M27" s="159"/>
      <c r="N27" s="14"/>
      <c r="O27" s="37">
        <f t="shared" si="4"/>
        <v>0</v>
      </c>
      <c r="P27" s="3"/>
      <c r="Q27" s="3"/>
      <c r="R27" s="3"/>
      <c r="S27" s="3"/>
      <c r="T27" s="162" t="str">
        <f t="shared" si="6"/>
        <v>Enter data here</v>
      </c>
      <c r="U27" s="162" t="str">
        <f t="shared" si="7"/>
        <v>Use column to left</v>
      </c>
      <c r="V27" s="158" t="s">
        <v>305</v>
      </c>
      <c r="W27" s="145" t="str">
        <f t="shared" si="8"/>
        <v>Unfilled fields on left</v>
      </c>
      <c r="Y27" s="13"/>
    </row>
    <row r="28" spans="2:26" s="6" customFormat="1">
      <c r="B28" s="143" t="s">
        <v>180</v>
      </c>
      <c r="C28" s="144" t="s">
        <v>181</v>
      </c>
      <c r="D28" s="8" t="s">
        <v>244</v>
      </c>
      <c r="E28" s="157"/>
      <c r="F28" s="157"/>
      <c r="G28" s="157"/>
      <c r="H28" s="159"/>
      <c r="I28" s="159"/>
      <c r="J28" s="159"/>
      <c r="K28" s="159"/>
      <c r="L28" s="159"/>
      <c r="M28" s="159"/>
      <c r="N28" s="14"/>
      <c r="O28" s="37">
        <f t="shared" si="4"/>
        <v>0</v>
      </c>
      <c r="P28" s="3"/>
      <c r="Q28" s="3"/>
      <c r="R28" s="3"/>
      <c r="S28" s="3"/>
      <c r="T28" s="162" t="str">
        <f t="shared" si="6"/>
        <v>Enter data here</v>
      </c>
      <c r="U28" s="162" t="str">
        <f t="shared" si="7"/>
        <v>Use column to left</v>
      </c>
      <c r="V28" s="158" t="s">
        <v>305</v>
      </c>
      <c r="W28" s="145" t="str">
        <f t="shared" si="8"/>
        <v>Unfilled fields on left</v>
      </c>
      <c r="Y28" s="13"/>
    </row>
    <row r="29" spans="2:26" s="6" customFormat="1">
      <c r="B29" s="143" t="s">
        <v>375</v>
      </c>
      <c r="C29" s="144" t="s">
        <v>368</v>
      </c>
      <c r="D29" s="8" t="s">
        <v>244</v>
      </c>
      <c r="E29" s="157"/>
      <c r="F29" s="157"/>
      <c r="G29" s="157"/>
      <c r="H29" s="159"/>
      <c r="I29" s="159"/>
      <c r="J29" s="159"/>
      <c r="K29" s="159"/>
      <c r="L29" s="159"/>
      <c r="M29" s="159"/>
      <c r="N29" s="14"/>
      <c r="O29" s="37">
        <f t="shared" si="4"/>
        <v>0</v>
      </c>
      <c r="P29" s="3"/>
      <c r="Q29" s="3"/>
      <c r="R29" s="3"/>
      <c r="S29" s="3"/>
      <c r="T29" s="158">
        <v>0</v>
      </c>
      <c r="U29" s="175"/>
      <c r="V29" s="158" t="s">
        <v>271</v>
      </c>
      <c r="W29" s="145" t="str">
        <f>IFERROR(IF(D29="tonnes/yr", $T29*$E29/($O$17*3.6), $U29*$E29*3.6/($O$17*3.6)), "Unfilled fields on left")</f>
        <v>Unfilled fields on left</v>
      </c>
      <c r="Y29" s="13"/>
    </row>
    <row r="30" spans="2:26" s="6" customFormat="1">
      <c r="B30" s="143" t="s">
        <v>375</v>
      </c>
      <c r="C30" s="144" t="s">
        <v>369</v>
      </c>
      <c r="D30" s="8" t="s">
        <v>244</v>
      </c>
      <c r="E30" s="157"/>
      <c r="F30" s="157"/>
      <c r="G30" s="157"/>
      <c r="H30" s="159"/>
      <c r="I30" s="159"/>
      <c r="J30" s="159"/>
      <c r="K30" s="159"/>
      <c r="L30" s="159"/>
      <c r="M30" s="159"/>
      <c r="N30" s="14"/>
      <c r="O30" s="37">
        <f t="shared" si="4"/>
        <v>0</v>
      </c>
      <c r="P30" s="3"/>
      <c r="Q30" s="3"/>
      <c r="R30" s="3"/>
      <c r="S30" s="3"/>
      <c r="T30" s="158">
        <v>0</v>
      </c>
      <c r="U30" s="175"/>
      <c r="V30" s="158" t="s">
        <v>367</v>
      </c>
      <c r="W30" s="145" t="str">
        <f>IFERROR(IF(D30="tonnes/yr", $T30*$E30/($O$17*3.6), $U30*$E30*3.6/($O$17*3.6)), "Unfilled fields on left")</f>
        <v>Unfilled fields on left</v>
      </c>
      <c r="Y30" s="13"/>
    </row>
    <row r="31" spans="2:26" s="6" customFormat="1">
      <c r="B31" s="143" t="s">
        <v>375</v>
      </c>
      <c r="C31" s="144" t="s">
        <v>370</v>
      </c>
      <c r="D31" s="8" t="s">
        <v>244</v>
      </c>
      <c r="E31" s="157"/>
      <c r="F31" s="157"/>
      <c r="G31" s="157"/>
      <c r="H31" s="159"/>
      <c r="I31" s="159"/>
      <c r="J31" s="159"/>
      <c r="K31" s="159"/>
      <c r="L31" s="159"/>
      <c r="M31" s="159"/>
      <c r="N31" s="14"/>
      <c r="O31" s="37">
        <f t="shared" si="4"/>
        <v>0</v>
      </c>
      <c r="P31" s="3"/>
      <c r="Q31" s="3"/>
      <c r="R31" s="3"/>
      <c r="S31" s="3"/>
      <c r="T31" s="158">
        <v>1000</v>
      </c>
      <c r="U31" s="175"/>
      <c r="V31" s="158" t="s">
        <v>371</v>
      </c>
      <c r="W31" s="145" t="str">
        <f>IFERROR(IF(D31="tonnes/yr", $T31*$E31/($O$17*3.6), $U31*$E31*3.6/($O$17*3.6)), "Unfilled fields on left")</f>
        <v>Unfilled fields on left</v>
      </c>
      <c r="Y31" s="13"/>
    </row>
    <row r="32" spans="2:26" s="6" customFormat="1">
      <c r="B32" s="143" t="s">
        <v>373</v>
      </c>
      <c r="C32" s="144" t="s">
        <v>268</v>
      </c>
      <c r="D32" s="8" t="s">
        <v>244</v>
      </c>
      <c r="E32" s="157"/>
      <c r="F32" s="157"/>
      <c r="G32" s="157"/>
      <c r="H32" s="159"/>
      <c r="I32" s="159"/>
      <c r="J32" s="159"/>
      <c r="K32" s="159"/>
      <c r="L32" s="159"/>
      <c r="M32" s="159"/>
      <c r="N32" s="14"/>
      <c r="O32" s="37">
        <f t="shared" si="4"/>
        <v>0</v>
      </c>
      <c r="P32" s="3"/>
      <c r="Q32" s="3"/>
      <c r="R32" s="3"/>
      <c r="S32" s="3"/>
      <c r="T32" s="158">
        <v>-1000</v>
      </c>
      <c r="U32" s="175"/>
      <c r="V32" s="158" t="s">
        <v>372</v>
      </c>
      <c r="W32" s="145" t="str">
        <f>IFERROR(IF(D32="tonnes/yr", $T32*$E32/($O$17*3.6), $U32*$E32*3.6/($O$17*3.6)), "Unfilled fields on left")</f>
        <v>Unfilled fields on left</v>
      </c>
      <c r="Y32" s="13"/>
    </row>
    <row r="33" spans="2:26" s="6" customFormat="1">
      <c r="B33" s="143" t="s">
        <v>373</v>
      </c>
      <c r="C33" s="144" t="s">
        <v>269</v>
      </c>
      <c r="D33" s="8" t="s">
        <v>244</v>
      </c>
      <c r="E33" s="157"/>
      <c r="F33" s="157"/>
      <c r="G33" s="157"/>
      <c r="H33" s="159"/>
      <c r="I33" s="159"/>
      <c r="J33" s="159"/>
      <c r="K33" s="159"/>
      <c r="L33" s="159"/>
      <c r="M33" s="159"/>
      <c r="N33" s="14"/>
      <c r="O33" s="37">
        <f t="shared" si="4"/>
        <v>0</v>
      </c>
      <c r="P33" s="3"/>
      <c r="Q33" s="3"/>
      <c r="R33" s="3"/>
      <c r="S33" s="3"/>
      <c r="T33" s="158">
        <v>-1000</v>
      </c>
      <c r="U33" s="175"/>
      <c r="V33" s="158" t="s">
        <v>377</v>
      </c>
      <c r="W33" s="145" t="str">
        <f>IFERROR(IF(D33="tonnes/yr", $T33*$E33/($O$17*3.6), $U33*$E33*3.6/($O$17*3.6)), "Unfilled fields on left")</f>
        <v>Unfilled fields on left</v>
      </c>
      <c r="Y33" s="13"/>
    </row>
    <row r="34" spans="2:26">
      <c r="B34" s="143" t="s">
        <v>374</v>
      </c>
      <c r="C34" s="144" t="s">
        <v>378</v>
      </c>
      <c r="D34" s="8" t="s">
        <v>244</v>
      </c>
      <c r="E34" s="157"/>
      <c r="F34" s="157"/>
      <c r="G34" s="157"/>
      <c r="H34" s="159"/>
      <c r="I34" s="159"/>
      <c r="J34" s="159"/>
      <c r="K34" s="159"/>
      <c r="L34" s="159"/>
      <c r="M34" s="159"/>
      <c r="N34" s="14"/>
      <c r="O34" s="37">
        <f t="shared" si="4"/>
        <v>0</v>
      </c>
      <c r="P34" s="3"/>
      <c r="T34" s="158">
        <v>-1000</v>
      </c>
      <c r="U34" s="175"/>
      <c r="V34" s="158" t="s">
        <v>379</v>
      </c>
      <c r="W34" s="145" t="str">
        <f t="shared" ref="W34:W38" si="9">IFERROR(IF(D34="tonnes/yr", $T34*$E34/($O$17*3.6), $U34*$E34*3.6/($O$17*3.6)), "Unfilled fields on left")</f>
        <v>Unfilled fields on left</v>
      </c>
      <c r="X34" s="6"/>
      <c r="Y34" s="13"/>
      <c r="Z34" s="3"/>
    </row>
    <row r="35" spans="2:26">
      <c r="B35" s="143" t="s">
        <v>374</v>
      </c>
      <c r="C35" s="144" t="s">
        <v>366</v>
      </c>
      <c r="D35" s="8" t="s">
        <v>244</v>
      </c>
      <c r="E35" s="157"/>
      <c r="F35" s="157"/>
      <c r="G35" s="157"/>
      <c r="H35" s="159"/>
      <c r="I35" s="159"/>
      <c r="J35" s="159"/>
      <c r="K35" s="159"/>
      <c r="L35" s="159"/>
      <c r="M35" s="159"/>
      <c r="N35" s="14"/>
      <c r="O35" s="37">
        <f t="shared" si="4"/>
        <v>0</v>
      </c>
      <c r="P35" s="3"/>
      <c r="T35" s="158">
        <v>0</v>
      </c>
      <c r="U35" s="175"/>
      <c r="V35" s="158" t="s">
        <v>365</v>
      </c>
      <c r="W35" s="145" t="str">
        <f t="shared" si="9"/>
        <v>Unfilled fields on left</v>
      </c>
      <c r="X35" s="6"/>
      <c r="Y35" s="13"/>
      <c r="Z35" s="3"/>
    </row>
    <row r="36" spans="2:26">
      <c r="B36" s="143" t="s">
        <v>376</v>
      </c>
      <c r="C36" s="144" t="s">
        <v>253</v>
      </c>
      <c r="D36" s="8" t="s">
        <v>244</v>
      </c>
      <c r="E36" s="157"/>
      <c r="F36" s="157"/>
      <c r="G36" s="157"/>
      <c r="H36" s="159"/>
      <c r="I36" s="159"/>
      <c r="J36" s="159"/>
      <c r="K36" s="159"/>
      <c r="L36" s="159"/>
      <c r="M36" s="159"/>
      <c r="N36" s="14"/>
      <c r="O36" s="37">
        <f t="shared" si="4"/>
        <v>0</v>
      </c>
      <c r="P36" s="3"/>
      <c r="T36" s="158">
        <v>28000</v>
      </c>
      <c r="U36" s="175"/>
      <c r="V36" s="158" t="s">
        <v>256</v>
      </c>
      <c r="W36" s="145" t="str">
        <f t="shared" si="9"/>
        <v>Unfilled fields on left</v>
      </c>
      <c r="X36" s="6"/>
      <c r="Y36" s="13"/>
      <c r="Z36" s="3"/>
    </row>
    <row r="37" spans="2:26">
      <c r="B37" s="143" t="s">
        <v>376</v>
      </c>
      <c r="C37" s="144" t="s">
        <v>254</v>
      </c>
      <c r="D37" s="8" t="s">
        <v>244</v>
      </c>
      <c r="E37" s="157"/>
      <c r="F37" s="157"/>
      <c r="G37" s="157"/>
      <c r="H37" s="159"/>
      <c r="I37" s="159"/>
      <c r="J37" s="159"/>
      <c r="K37" s="159"/>
      <c r="L37" s="159"/>
      <c r="M37" s="159"/>
      <c r="N37" s="14"/>
      <c r="O37" s="37">
        <f t="shared" si="4"/>
        <v>0</v>
      </c>
      <c r="P37" s="3"/>
      <c r="T37" s="158">
        <v>265000</v>
      </c>
      <c r="U37" s="175"/>
      <c r="V37" s="158" t="s">
        <v>256</v>
      </c>
      <c r="W37" s="145" t="str">
        <f t="shared" si="9"/>
        <v>Unfilled fields on left</v>
      </c>
      <c r="X37" s="6"/>
      <c r="Y37" s="13"/>
      <c r="Z37" s="3"/>
    </row>
    <row r="38" spans="2:26">
      <c r="B38" s="9"/>
      <c r="C38" s="8"/>
      <c r="D38" s="8"/>
      <c r="E38" s="157"/>
      <c r="F38" s="157"/>
      <c r="G38" s="157"/>
      <c r="H38" s="159"/>
      <c r="I38" s="159"/>
      <c r="J38" s="159"/>
      <c r="K38" s="159"/>
      <c r="L38" s="159"/>
      <c r="M38" s="159"/>
      <c r="N38" s="14"/>
      <c r="O38" s="37">
        <f t="shared" si="4"/>
        <v>0</v>
      </c>
      <c r="P38" s="3"/>
      <c r="T38" s="16"/>
      <c r="U38" s="15"/>
      <c r="V38" s="158"/>
      <c r="W38" s="145" t="str">
        <f t="shared" si="9"/>
        <v>Unfilled fields on left</v>
      </c>
      <c r="X38" s="6"/>
      <c r="Y38" s="13"/>
      <c r="Z38" s="3"/>
    </row>
    <row r="39" spans="2:26">
      <c r="C39" s="10"/>
      <c r="D39" s="10"/>
      <c r="E39" s="11"/>
      <c r="F39" s="10"/>
      <c r="H39" s="12"/>
      <c r="I39" s="12"/>
      <c r="J39" s="12"/>
      <c r="K39" s="12"/>
      <c r="L39" s="12"/>
      <c r="M39" s="12"/>
      <c r="N39" s="12"/>
      <c r="O39" s="12"/>
      <c r="P39" s="3"/>
      <c r="T39" s="12"/>
      <c r="U39" s="15"/>
      <c r="V39" s="12"/>
      <c r="W39" s="32"/>
      <c r="Z39" s="3"/>
    </row>
    <row r="40" spans="2:26">
      <c r="P40" s="3"/>
      <c r="V40" s="29" t="s">
        <v>159</v>
      </c>
      <c r="W40" s="148">
        <f>SUM(W4:W39)</f>
        <v>0</v>
      </c>
      <c r="Z40" s="3"/>
    </row>
    <row r="41" spans="2:26">
      <c r="B41" s="142" t="s">
        <v>257</v>
      </c>
      <c r="C41" s="138"/>
      <c r="D41" s="138"/>
      <c r="E41" s="138"/>
      <c r="P41" s="3"/>
      <c r="Z41" s="3"/>
    </row>
    <row r="42" spans="2:26">
      <c r="B42" s="9" t="s">
        <v>258</v>
      </c>
      <c r="C42" s="8" t="s">
        <v>259</v>
      </c>
      <c r="D42" s="8" t="s">
        <v>160</v>
      </c>
      <c r="E42" s="9"/>
    </row>
    <row r="43" spans="2:26">
      <c r="B43" s="9" t="s">
        <v>261</v>
      </c>
      <c r="C43" s="8" t="s">
        <v>262</v>
      </c>
      <c r="D43" s="8" t="s">
        <v>263</v>
      </c>
      <c r="E43" s="9"/>
    </row>
    <row r="44" spans="2:26">
      <c r="B44" s="9" t="s">
        <v>264</v>
      </c>
      <c r="C44" s="8" t="s">
        <v>265</v>
      </c>
      <c r="D44" s="8" t="s">
        <v>263</v>
      </c>
      <c r="E44" s="9"/>
    </row>
    <row r="45" spans="2:26">
      <c r="B45" s="9"/>
      <c r="C45" s="9"/>
      <c r="D45" s="9"/>
      <c r="E45" s="9"/>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row r="54" spans="5:8">
      <c r="E54" s="3"/>
      <c r="H54" s="3"/>
    </row>
    <row r="55" spans="5:8">
      <c r="E55" s="3"/>
      <c r="H55" s="3"/>
    </row>
    <row r="56" spans="5:8">
      <c r="E56" s="3"/>
      <c r="H56" s="3"/>
    </row>
    <row r="57" spans="5:8">
      <c r="E57" s="3"/>
      <c r="H57" s="3"/>
    </row>
    <row r="58" spans="5:8">
      <c r="E58" s="3"/>
      <c r="H58" s="3"/>
    </row>
  </sheetData>
  <dataValidations count="1">
    <dataValidation type="list" allowBlank="1" showInputMessage="1" showErrorMessage="1" sqref="D5:D14 D17:D38" xr:uid="{A9781C3C-F988-4D05-9A5B-FEF41052D70E}">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32:U32 P36:W38 P34:S35 W34:W35 P5:W29 P30:S30 U30 W30 P33:U33 W31:W33 O5:O38" unlocked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'Upgrading to fuel'!C17</f>
        <v>e.g. Jet fuel</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58"/>
      <c r="U31" s="175"/>
      <c r="V31" s="158"/>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58"/>
      <c r="U32" s="175"/>
      <c r="V32" s="158"/>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4F7529DE-C0D9-465B-B434-19856CAF002C}">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distribution 1'!C17</f>
        <v>e.g. Jet fuel</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F4724EE7-CB68-49FF-9A96-AA7373578E86}">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storage'!C17</f>
        <v>e.g. Jet fuel</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58"/>
      <c r="U30" s="175"/>
      <c r="V30" s="158"/>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066AF23F-F558-4AFC-BD0C-8B53DE9CEE70}">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'Fuel distribution 2'!C17</f>
        <v>e.g. Jet fuel</v>
      </c>
      <c r="D5" s="8" t="s">
        <v>244</v>
      </c>
      <c r="E5" s="162"/>
      <c r="F5" s="157"/>
      <c r="G5" s="157"/>
      <c r="H5" s="159"/>
      <c r="I5" s="159" t="s">
        <v>176</v>
      </c>
      <c r="J5" s="162"/>
      <c r="K5" s="159"/>
      <c r="L5" s="159"/>
      <c r="M5" s="159"/>
      <c r="N5" s="14"/>
      <c r="O5" s="37">
        <f t="shared" ref="O5:O14" si="0">IF($D5="MWh/yr (LHV)",$E5,$J5*$E5*(1-$L5)/3.6)</f>
        <v>0</v>
      </c>
      <c r="P5" s="3"/>
      <c r="T5" s="162" t="str">
        <f>IF(B5="", "", IF(D5="MWh/yr (LHV)", "Use column to right", "Enter data here"))</f>
        <v>Enter data here</v>
      </c>
      <c r="U5" s="162" t="str">
        <f>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61"/>
      <c r="X16" s="141"/>
      <c r="Y16" s="141"/>
      <c r="Z16" s="3"/>
    </row>
    <row r="17" spans="2:26">
      <c r="B17" s="9" t="s">
        <v>175</v>
      </c>
      <c r="C17" s="144" t="s">
        <v>266</v>
      </c>
      <c r="D17" s="8" t="s">
        <v>244</v>
      </c>
      <c r="E17" s="158"/>
      <c r="F17" s="157"/>
      <c r="G17" s="157"/>
      <c r="H17" s="157"/>
      <c r="I17" s="157" t="s">
        <v>169</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7"/>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58"/>
      <c r="U27" s="175"/>
      <c r="V27" s="158"/>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58"/>
      <c r="U28" s="175"/>
      <c r="V28" s="158"/>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58"/>
      <c r="U29" s="175"/>
      <c r="V29" s="158"/>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AE996C5D-C6A6-4A4D-A9C5-549C5855CA30}">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5:W23 P25:W33 P24:U24 W24 O5:O33" unlocked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5" tint="0.79998168889431442"/>
  </sheetPr>
  <dimension ref="B2:J82"/>
  <sheetViews>
    <sheetView showGridLines="0" zoomScale="85" zoomScaleNormal="85" workbookViewId="0"/>
  </sheetViews>
  <sheetFormatPr defaultColWidth="7.28515625" defaultRowHeight="15"/>
  <cols>
    <col min="1" max="1" width="6.7109375" style="82" customWidth="1"/>
    <col min="2" max="2" width="38.28515625" style="82" customWidth="1"/>
    <col min="3" max="3" width="18" style="82" bestFit="1" customWidth="1"/>
    <col min="4" max="4" width="14" style="82" customWidth="1"/>
    <col min="5" max="5" width="17.7109375" style="82" customWidth="1"/>
    <col min="6" max="8" width="14" style="82" customWidth="1"/>
    <col min="9" max="9" width="16.7109375" style="82" customWidth="1"/>
    <col min="10" max="10" width="14.5703125" style="82" customWidth="1"/>
    <col min="11" max="13" width="18.28515625" style="82" customWidth="1"/>
    <col min="14" max="14" width="12.7109375" style="82" customWidth="1"/>
    <col min="15" max="16" width="25" style="82" customWidth="1"/>
    <col min="17" max="16384" width="7.28515625" style="82"/>
  </cols>
  <sheetData>
    <row r="2" spans="2:9">
      <c r="B2" s="126" t="s">
        <v>21</v>
      </c>
      <c r="C2" s="85"/>
      <c r="D2" s="85"/>
      <c r="E2" s="85"/>
      <c r="F2" s="85"/>
      <c r="G2" s="96"/>
      <c r="H2" s="85"/>
      <c r="I2" s="85"/>
    </row>
    <row r="3" spans="2:9">
      <c r="B3" s="83" t="s">
        <v>22</v>
      </c>
      <c r="C3" s="84" t="s">
        <v>23</v>
      </c>
      <c r="D3" s="84" t="s">
        <v>24</v>
      </c>
      <c r="E3" s="84" t="s">
        <v>25</v>
      </c>
      <c r="F3" s="84" t="s">
        <v>26</v>
      </c>
      <c r="G3" s="84" t="s">
        <v>27</v>
      </c>
      <c r="H3" s="85"/>
      <c r="I3" s="85"/>
    </row>
    <row r="4" spans="2:9">
      <c r="B4" s="86" t="s">
        <v>28</v>
      </c>
      <c r="C4" s="87"/>
      <c r="D4" s="87">
        <v>238.8</v>
      </c>
      <c r="E4" s="87">
        <f>2.388*10^-5</f>
        <v>2.3880000000000002E-5</v>
      </c>
      <c r="F4" s="87">
        <v>947.8</v>
      </c>
      <c r="G4" s="87">
        <v>0.27779999999999999</v>
      </c>
      <c r="H4" s="85"/>
      <c r="I4" s="88"/>
    </row>
    <row r="5" spans="2:9">
      <c r="B5" s="86" t="s">
        <v>29</v>
      </c>
      <c r="C5" s="89">
        <f>4.1868*10^-3</f>
        <v>4.1868000000000001E-3</v>
      </c>
      <c r="D5" s="87"/>
      <c r="E5" s="87">
        <f>10^-7</f>
        <v>9.9999999999999995E-8</v>
      </c>
      <c r="F5" s="87">
        <v>3.968</v>
      </c>
      <c r="G5" s="87">
        <f>1.163*10^-3</f>
        <v>1.163E-3</v>
      </c>
      <c r="H5" s="85"/>
      <c r="I5" s="90"/>
    </row>
    <row r="6" spans="2:9">
      <c r="B6" s="86" t="s">
        <v>30</v>
      </c>
      <c r="C6" s="91">
        <f>4.1868*10^4</f>
        <v>41868</v>
      </c>
      <c r="D6" s="91">
        <f>10^7</f>
        <v>10000000</v>
      </c>
      <c r="E6" s="87"/>
      <c r="F6" s="91">
        <f>3.968*10^7</f>
        <v>39680000</v>
      </c>
      <c r="G6" s="91">
        <v>11630</v>
      </c>
      <c r="H6" s="85"/>
      <c r="I6" s="92"/>
    </row>
    <row r="7" spans="2:9">
      <c r="B7" s="86" t="s">
        <v>31</v>
      </c>
      <c r="C7" s="89">
        <f>1.0551*10^-3</f>
        <v>1.0551E-3</v>
      </c>
      <c r="D7" s="87">
        <v>0.252</v>
      </c>
      <c r="E7" s="87">
        <f>2.52*10^-8</f>
        <v>2.5200000000000001E-8</v>
      </c>
      <c r="F7" s="87"/>
      <c r="G7" s="89">
        <f>1/F8</f>
        <v>2.9307107044088316E-4</v>
      </c>
      <c r="H7" s="85"/>
      <c r="I7" s="85"/>
    </row>
    <row r="8" spans="2:9">
      <c r="B8" s="86" t="s">
        <v>32</v>
      </c>
      <c r="C8" s="87">
        <v>3.6</v>
      </c>
      <c r="D8" s="87">
        <v>860</v>
      </c>
      <c r="E8" s="87">
        <f>8.6*10^-5</f>
        <v>8.6000000000000003E-5</v>
      </c>
      <c r="F8" s="91">
        <v>3412.1416300000001</v>
      </c>
      <c r="G8" s="93"/>
      <c r="H8" s="85"/>
      <c r="I8" s="94"/>
    </row>
    <row r="9" spans="2:9">
      <c r="B9" s="85"/>
      <c r="C9" s="95"/>
      <c r="D9" s="95"/>
      <c r="E9" s="95"/>
      <c r="F9" s="95"/>
      <c r="G9" s="96"/>
      <c r="H9" s="85"/>
      <c r="I9" s="85"/>
    </row>
    <row r="10" spans="2:9">
      <c r="B10" s="85"/>
      <c r="C10" s="95"/>
      <c r="D10" s="95"/>
      <c r="E10" s="95"/>
      <c r="F10" s="95"/>
      <c r="G10" s="96"/>
      <c r="H10" s="85"/>
      <c r="I10" s="85"/>
    </row>
    <row r="11" spans="2:9">
      <c r="B11" s="126" t="s">
        <v>33</v>
      </c>
      <c r="C11" s="95"/>
      <c r="D11" s="95"/>
      <c r="E11" s="95"/>
      <c r="F11" s="95"/>
      <c r="G11" s="96"/>
      <c r="H11" s="85"/>
      <c r="I11" s="85"/>
    </row>
    <row r="12" spans="2:9">
      <c r="B12" s="83" t="s">
        <v>22</v>
      </c>
      <c r="C12" s="84" t="s">
        <v>34</v>
      </c>
      <c r="D12" s="84" t="s">
        <v>35</v>
      </c>
      <c r="E12" s="84" t="s">
        <v>36</v>
      </c>
      <c r="F12" s="84" t="s">
        <v>37</v>
      </c>
      <c r="G12" s="84" t="s">
        <v>38</v>
      </c>
      <c r="H12" s="84" t="s">
        <v>39</v>
      </c>
      <c r="I12" s="85"/>
    </row>
    <row r="13" spans="2:9">
      <c r="B13" s="86" t="s">
        <v>40</v>
      </c>
      <c r="C13" s="87"/>
      <c r="D13" s="87">
        <v>1E-3</v>
      </c>
      <c r="E13" s="97">
        <f>9.84207*10^-4</f>
        <v>9.8420699999999996E-4</v>
      </c>
      <c r="F13" s="98">
        <f>1.10231*10^-3</f>
        <v>1.10231E-3</v>
      </c>
      <c r="G13" s="99">
        <v>2.2046199999999998</v>
      </c>
      <c r="H13" s="100">
        <f>G13*16</f>
        <v>35.273919999999997</v>
      </c>
      <c r="I13" s="85"/>
    </row>
    <row r="14" spans="2:9">
      <c r="B14" s="86" t="s">
        <v>41</v>
      </c>
      <c r="C14" s="87">
        <v>1000</v>
      </c>
      <c r="D14" s="87"/>
      <c r="E14" s="101">
        <v>0.98420700000000005</v>
      </c>
      <c r="F14" s="87">
        <v>1.1023099999999999</v>
      </c>
      <c r="G14" s="91">
        <v>2204.62</v>
      </c>
      <c r="H14" s="91">
        <f>G14*16</f>
        <v>35273.919999999998</v>
      </c>
      <c r="I14" s="85"/>
    </row>
    <row r="15" spans="2:9">
      <c r="B15" s="86" t="s">
        <v>42</v>
      </c>
      <c r="C15" s="91">
        <f>1/E13</f>
        <v>1016.0464211288886</v>
      </c>
      <c r="D15" s="102">
        <f>1/E14</f>
        <v>1.0160464211288884</v>
      </c>
      <c r="E15" s="87"/>
      <c r="F15" s="102">
        <v>1.1200000000000001</v>
      </c>
      <c r="G15" s="91">
        <v>2240</v>
      </c>
      <c r="H15" s="91">
        <f>G15*16</f>
        <v>35840</v>
      </c>
      <c r="I15" s="85"/>
    </row>
    <row r="16" spans="2:9">
      <c r="B16" s="86" t="s">
        <v>43</v>
      </c>
      <c r="C16" s="103">
        <f>1/F13</f>
        <v>907.18581887127937</v>
      </c>
      <c r="D16" s="101">
        <f>C16*D13</f>
        <v>0.90718581887127936</v>
      </c>
      <c r="E16" s="101">
        <f>C16*E13</f>
        <v>0.89285863323384518</v>
      </c>
      <c r="F16" s="87"/>
      <c r="G16" s="91">
        <v>2000</v>
      </c>
      <c r="H16" s="91">
        <f>G16*16</f>
        <v>32000</v>
      </c>
      <c r="I16" s="85"/>
    </row>
    <row r="17" spans="2:9">
      <c r="B17" s="86" t="s">
        <v>44</v>
      </c>
      <c r="C17" s="101">
        <f>1/G13</f>
        <v>0.45359290943563974</v>
      </c>
      <c r="D17" s="97">
        <f>1/G14</f>
        <v>4.535929094356397E-4</v>
      </c>
      <c r="E17" s="97">
        <f>1/G15</f>
        <v>4.4642857142857141E-4</v>
      </c>
      <c r="F17" s="87">
        <f>1/G16</f>
        <v>5.0000000000000001E-4</v>
      </c>
      <c r="G17" s="93"/>
      <c r="H17" s="87">
        <v>16</v>
      </c>
      <c r="I17" s="85"/>
    </row>
    <row r="18" spans="2:9">
      <c r="B18" s="86" t="s">
        <v>45</v>
      </c>
      <c r="C18" s="98">
        <f>C17/16</f>
        <v>2.8349556839727483E-2</v>
      </c>
      <c r="D18" s="104">
        <f>D17/16</f>
        <v>2.8349556839727481E-5</v>
      </c>
      <c r="E18" s="104">
        <f>E17/16</f>
        <v>2.7901785714285713E-5</v>
      </c>
      <c r="F18" s="104">
        <f>F17/16</f>
        <v>3.1250000000000001E-5</v>
      </c>
      <c r="G18" s="87">
        <f>1/16</f>
        <v>6.25E-2</v>
      </c>
      <c r="H18" s="87"/>
      <c r="I18" s="85"/>
    </row>
    <row r="19" spans="2:9">
      <c r="B19" s="85"/>
      <c r="C19" s="95"/>
      <c r="D19" s="95"/>
      <c r="E19" s="95"/>
      <c r="F19" s="95"/>
      <c r="G19" s="96"/>
      <c r="H19" s="85"/>
      <c r="I19" s="85"/>
    </row>
    <row r="20" spans="2:9">
      <c r="B20" s="85"/>
      <c r="C20" s="95"/>
      <c r="D20" s="95"/>
      <c r="E20" s="95"/>
      <c r="F20" s="95"/>
      <c r="G20" s="96"/>
      <c r="H20" s="85"/>
      <c r="I20" s="85"/>
    </row>
    <row r="21" spans="2:9">
      <c r="B21" s="126" t="s">
        <v>46</v>
      </c>
      <c r="C21" s="85"/>
      <c r="D21" s="85"/>
      <c r="E21" s="85"/>
      <c r="F21" s="85"/>
      <c r="G21" s="96"/>
      <c r="H21" s="85"/>
      <c r="I21" s="85"/>
    </row>
    <row r="22" spans="2:9">
      <c r="B22" s="83" t="s">
        <v>22</v>
      </c>
      <c r="C22" s="84" t="s">
        <v>47</v>
      </c>
      <c r="D22" s="84" t="s">
        <v>48</v>
      </c>
      <c r="E22" s="84" t="s">
        <v>49</v>
      </c>
      <c r="F22" s="84" t="s">
        <v>50</v>
      </c>
      <c r="G22" s="84" t="s">
        <v>51</v>
      </c>
      <c r="H22" s="84" t="s">
        <v>52</v>
      </c>
      <c r="I22" s="85"/>
    </row>
    <row r="23" spans="2:9">
      <c r="B23" s="86" t="s">
        <v>53</v>
      </c>
      <c r="C23" s="87"/>
      <c r="D23" s="101">
        <v>0.83267400000000003</v>
      </c>
      <c r="E23" s="98">
        <f>1/C25</f>
        <v>2.3809523809523808E-2</v>
      </c>
      <c r="F23" s="101">
        <v>0.13368099999999999</v>
      </c>
      <c r="G23" s="76">
        <v>3.7854100000000002</v>
      </c>
      <c r="H23" s="105">
        <v>3.7854100000000003E-3</v>
      </c>
      <c r="I23" s="106"/>
    </row>
    <row r="24" spans="2:9">
      <c r="B24" s="86" t="s">
        <v>54</v>
      </c>
      <c r="C24" s="101">
        <f>1/D23</f>
        <v>1.2009501917917456</v>
      </c>
      <c r="D24" s="87"/>
      <c r="E24" s="98">
        <f>1/D25</f>
        <v>2.8594052185517756E-2</v>
      </c>
      <c r="F24" s="101">
        <f>1/D26</f>
        <v>0.16054422258891232</v>
      </c>
      <c r="G24" s="101">
        <v>4.5460900000000004</v>
      </c>
      <c r="H24" s="98">
        <f>G24/1000</f>
        <v>4.54609E-3</v>
      </c>
      <c r="I24" s="106"/>
    </row>
    <row r="25" spans="2:9">
      <c r="B25" s="86" t="s">
        <v>55</v>
      </c>
      <c r="C25" s="77">
        <v>42</v>
      </c>
      <c r="D25" s="100">
        <f>C25*D23</f>
        <v>34.972307999999998</v>
      </c>
      <c r="E25" s="87"/>
      <c r="F25" s="102">
        <f>1/E26</f>
        <v>5.6146019999999996</v>
      </c>
      <c r="G25" s="107">
        <v>158.98722000000001</v>
      </c>
      <c r="H25" s="98">
        <f>G25/1000</f>
        <v>0.15898722000000001</v>
      </c>
      <c r="I25" s="106"/>
    </row>
    <row r="26" spans="2:9">
      <c r="B26" s="86" t="s">
        <v>216</v>
      </c>
      <c r="C26" s="101">
        <f>1/F23</f>
        <v>7.4804946103036336</v>
      </c>
      <c r="D26" s="102">
        <f>C26*D23</f>
        <v>6.2288133691399681</v>
      </c>
      <c r="E26" s="98">
        <f>C26*E23</f>
        <v>0.17810701453103889</v>
      </c>
      <c r="F26" s="87"/>
      <c r="G26" s="108">
        <v>28.316800000000001</v>
      </c>
      <c r="H26" s="98">
        <f>G26/1000</f>
        <v>2.83168E-2</v>
      </c>
      <c r="I26" s="106"/>
    </row>
    <row r="27" spans="2:9">
      <c r="B27" s="86" t="s">
        <v>56</v>
      </c>
      <c r="C27" s="101">
        <v>0.26417217685798894</v>
      </c>
      <c r="D27" s="101">
        <f>1/G24</f>
        <v>0.21996924829908776</v>
      </c>
      <c r="E27" s="98">
        <f>1/G25</f>
        <v>6.2898137347140223E-3</v>
      </c>
      <c r="F27" s="101">
        <f>1/G26</f>
        <v>3.5314724827664144E-2</v>
      </c>
      <c r="G27" s="93"/>
      <c r="H27" s="87">
        <v>1E-3</v>
      </c>
      <c r="I27" s="106"/>
    </row>
    <row r="28" spans="2:9">
      <c r="B28" s="86" t="s">
        <v>57</v>
      </c>
      <c r="C28" s="108">
        <f>1/H23</f>
        <v>264.17217685798892</v>
      </c>
      <c r="D28" s="108">
        <f>1/H24</f>
        <v>219.96924829908778</v>
      </c>
      <c r="E28" s="101">
        <f>1/H25</f>
        <v>6.2898137347140226</v>
      </c>
      <c r="F28" s="109">
        <f>1/H26</f>
        <v>35.314724827664143</v>
      </c>
      <c r="G28" s="91">
        <v>1000</v>
      </c>
      <c r="H28" s="93"/>
      <c r="I28" s="85"/>
    </row>
    <row r="29" spans="2:9">
      <c r="B29" s="85"/>
      <c r="C29" s="95"/>
      <c r="D29" s="95"/>
      <c r="E29" s="95"/>
      <c r="F29" s="95"/>
      <c r="G29" s="96"/>
      <c r="H29" s="85"/>
      <c r="I29" s="85"/>
    </row>
    <row r="30" spans="2:9">
      <c r="B30" s="85"/>
      <c r="C30" s="95"/>
      <c r="D30" s="95"/>
      <c r="E30" s="95"/>
      <c r="F30" s="95"/>
      <c r="G30" s="96"/>
      <c r="H30" s="85"/>
      <c r="I30" s="85"/>
    </row>
    <row r="31" spans="2:9">
      <c r="B31" s="126" t="s">
        <v>58</v>
      </c>
      <c r="C31" s="85"/>
      <c r="D31" s="85"/>
      <c r="E31" s="85"/>
      <c r="F31" s="85"/>
      <c r="G31" s="96"/>
      <c r="H31" s="85"/>
      <c r="I31" s="85"/>
    </row>
    <row r="32" spans="2:9">
      <c r="B32" s="83" t="s">
        <v>22</v>
      </c>
      <c r="C32" s="84" t="s">
        <v>59</v>
      </c>
      <c r="D32" s="84" t="s">
        <v>60</v>
      </c>
      <c r="E32" s="84" t="s">
        <v>61</v>
      </c>
      <c r="F32" s="84" t="s">
        <v>62</v>
      </c>
      <c r="G32" s="84" t="s">
        <v>63</v>
      </c>
      <c r="H32" s="84" t="s">
        <v>64</v>
      </c>
      <c r="I32" s="84" t="s">
        <v>65</v>
      </c>
    </row>
    <row r="33" spans="2:9">
      <c r="B33" s="86" t="s">
        <v>66</v>
      </c>
      <c r="C33" s="87"/>
      <c r="D33" s="101">
        <f>1/C34</f>
        <v>8.3333333333333329E-2</v>
      </c>
      <c r="E33" s="98">
        <f>1/C35</f>
        <v>2.7777777777777776E-2</v>
      </c>
      <c r="F33" s="89">
        <f>1/C36</f>
        <v>1.5782828282828283E-5</v>
      </c>
      <c r="G33" s="78">
        <f>1/C37</f>
        <v>1.3714900141812068E-5</v>
      </c>
      <c r="H33" s="98">
        <f>1/C38</f>
        <v>2.5399986284007407E-2</v>
      </c>
      <c r="I33" s="89">
        <f>H33/1000</f>
        <v>2.5399986284007409E-5</v>
      </c>
    </row>
    <row r="34" spans="2:9">
      <c r="B34" s="86" t="s">
        <v>67</v>
      </c>
      <c r="C34" s="91">
        <v>12</v>
      </c>
      <c r="D34" s="87"/>
      <c r="E34" s="101">
        <f>1/D35</f>
        <v>0.33333333333333331</v>
      </c>
      <c r="F34" s="97">
        <f>1/D36</f>
        <v>1.8939393939393939E-4</v>
      </c>
      <c r="G34" s="97">
        <f>1/D37</f>
        <v>1.6457880170174483E-4</v>
      </c>
      <c r="H34" s="101">
        <f>1/D38</f>
        <v>0.30479983540808891</v>
      </c>
      <c r="I34" s="97">
        <f>H34/1000</f>
        <v>3.0479983540808892E-4</v>
      </c>
    </row>
    <row r="35" spans="2:9">
      <c r="B35" s="86" t="s">
        <v>68</v>
      </c>
      <c r="C35" s="91">
        <v>36</v>
      </c>
      <c r="D35" s="91">
        <f>C35*D33</f>
        <v>3</v>
      </c>
      <c r="E35" s="87"/>
      <c r="F35" s="110">
        <f>1/E36</f>
        <v>5.6818181818181815E-4</v>
      </c>
      <c r="G35" s="97">
        <f>1/E37</f>
        <v>4.9373640510523445E-4</v>
      </c>
      <c r="H35" s="101">
        <f>1/E38</f>
        <v>0.91439950622426669</v>
      </c>
      <c r="I35" s="109">
        <f>H35/1000</f>
        <v>9.143995062242667E-4</v>
      </c>
    </row>
    <row r="36" spans="2:9">
      <c r="B36" s="86" t="s">
        <v>69</v>
      </c>
      <c r="C36" s="91">
        <v>63360</v>
      </c>
      <c r="D36" s="91">
        <f>C36*D33</f>
        <v>5280</v>
      </c>
      <c r="E36" s="91">
        <f>C36*E33</f>
        <v>1760</v>
      </c>
      <c r="F36" s="87"/>
      <c r="G36" s="101">
        <f>1/F37</f>
        <v>0.86897607298521262</v>
      </c>
      <c r="H36" s="91">
        <f>1/F38</f>
        <v>1609.3431309547093</v>
      </c>
      <c r="I36" s="101">
        <f>H36/1000</f>
        <v>1.6093431309547093</v>
      </c>
    </row>
    <row r="37" spans="2:9">
      <c r="B37" s="86" t="s">
        <v>70</v>
      </c>
      <c r="C37" s="91">
        <v>72913.399999999994</v>
      </c>
      <c r="D37" s="91">
        <f>C37*D33</f>
        <v>6076.1166666666659</v>
      </c>
      <c r="E37" s="91">
        <f>C37*E33</f>
        <v>2025.372222222222</v>
      </c>
      <c r="F37" s="101">
        <f>C37*F33</f>
        <v>1.1507796717171717</v>
      </c>
      <c r="G37" s="93"/>
      <c r="H37" s="91">
        <f>1/G38</f>
        <v>1851.9993599203453</v>
      </c>
      <c r="I37" s="101">
        <f>H37/1000</f>
        <v>1.8519993599203453</v>
      </c>
    </row>
    <row r="38" spans="2:9">
      <c r="B38" s="86" t="s">
        <v>71</v>
      </c>
      <c r="C38" s="107">
        <v>39.370100000000001</v>
      </c>
      <c r="D38" s="109">
        <f>C38*D33</f>
        <v>3.2808416666666664</v>
      </c>
      <c r="E38" s="109">
        <f>C38*E33</f>
        <v>1.0936138888888889</v>
      </c>
      <c r="F38" s="97">
        <f>C38*F33</f>
        <v>6.2137152777777776E-4</v>
      </c>
      <c r="G38" s="97">
        <f>C38*G33</f>
        <v>5.3995699007315537E-4</v>
      </c>
      <c r="H38" s="93"/>
      <c r="I38" s="101">
        <f>1/H39</f>
        <v>1E-3</v>
      </c>
    </row>
    <row r="39" spans="2:9">
      <c r="B39" s="86" t="s">
        <v>72</v>
      </c>
      <c r="C39" s="91">
        <f>C38*1000</f>
        <v>39370.1</v>
      </c>
      <c r="D39" s="108">
        <f>D38*1000</f>
        <v>3280.8416666666662</v>
      </c>
      <c r="E39" s="108">
        <f>E38*1000</f>
        <v>1093.6138888888888</v>
      </c>
      <c r="F39" s="100">
        <f>F38*1000</f>
        <v>0.62137152777777771</v>
      </c>
      <c r="G39" s="100">
        <f>G38*1000</f>
        <v>0.53995699007315534</v>
      </c>
      <c r="H39" s="91">
        <v>1000</v>
      </c>
      <c r="I39" s="111"/>
    </row>
    <row r="40" spans="2:9">
      <c r="B40" s="112"/>
      <c r="C40" s="113"/>
      <c r="D40" s="113"/>
      <c r="E40" s="113"/>
      <c r="F40" s="113"/>
      <c r="G40" s="114"/>
      <c r="H40" s="112"/>
      <c r="I40" s="112"/>
    </row>
    <row r="41" spans="2:9">
      <c r="B41" s="112"/>
      <c r="C41" s="113"/>
      <c r="D41" s="113"/>
      <c r="E41" s="113"/>
      <c r="F41" s="113"/>
      <c r="G41" s="114"/>
      <c r="H41" s="112"/>
      <c r="I41" s="112"/>
    </row>
    <row r="42" spans="2:9">
      <c r="B42" s="127" t="s">
        <v>73</v>
      </c>
      <c r="C42" s="112"/>
    </row>
    <row r="43" spans="2:9">
      <c r="B43" s="83" t="s">
        <v>22</v>
      </c>
      <c r="C43" s="84" t="s">
        <v>74</v>
      </c>
      <c r="D43" s="84" t="s">
        <v>75</v>
      </c>
    </row>
    <row r="44" spans="2:9">
      <c r="B44" s="86" t="s">
        <v>76</v>
      </c>
      <c r="C44" s="87"/>
      <c r="D44" s="101">
        <v>0.74569987199999999</v>
      </c>
    </row>
    <row r="45" spans="2:9">
      <c r="B45" s="86" t="s">
        <v>77</v>
      </c>
      <c r="C45" s="102">
        <f>1/D44</f>
        <v>1.3410220888438076</v>
      </c>
      <c r="D45" s="87"/>
    </row>
    <row r="48" spans="2:9">
      <c r="B48" s="126" t="s">
        <v>78</v>
      </c>
      <c r="C48" s="128"/>
      <c r="D48" s="128"/>
    </row>
    <row r="49" spans="2:4">
      <c r="B49" s="83" t="s">
        <v>79</v>
      </c>
      <c r="C49" s="83" t="s">
        <v>80</v>
      </c>
      <c r="D49" s="83" t="s">
        <v>81</v>
      </c>
    </row>
    <row r="50" spans="2:4">
      <c r="B50" s="79" t="s">
        <v>82</v>
      </c>
      <c r="C50" s="79" t="s">
        <v>83</v>
      </c>
      <c r="D50" s="79" t="s">
        <v>84</v>
      </c>
    </row>
    <row r="51" spans="2:4">
      <c r="B51" s="79" t="s">
        <v>85</v>
      </c>
      <c r="C51" s="79" t="s">
        <v>86</v>
      </c>
      <c r="D51" s="79" t="s">
        <v>87</v>
      </c>
    </row>
    <row r="52" spans="2:4">
      <c r="B52" s="79" t="s">
        <v>88</v>
      </c>
      <c r="C52" s="79" t="s">
        <v>89</v>
      </c>
      <c r="D52" s="79" t="s">
        <v>90</v>
      </c>
    </row>
    <row r="53" spans="2:4">
      <c r="B53" s="79" t="s">
        <v>91</v>
      </c>
      <c r="C53" s="79" t="s">
        <v>92</v>
      </c>
      <c r="D53" s="79" t="s">
        <v>93</v>
      </c>
    </row>
    <row r="54" spans="2:4">
      <c r="B54" s="79" t="s">
        <v>94</v>
      </c>
      <c r="C54" s="79" t="s">
        <v>95</v>
      </c>
      <c r="D54" s="79" t="s">
        <v>96</v>
      </c>
    </row>
    <row r="55" spans="2:4">
      <c r="B55" s="79" t="s">
        <v>97</v>
      </c>
      <c r="C55" s="79" t="s">
        <v>98</v>
      </c>
      <c r="D55" s="79" t="s">
        <v>99</v>
      </c>
    </row>
    <row r="56" spans="2:4">
      <c r="B56" s="79" t="s">
        <v>100</v>
      </c>
      <c r="C56" s="79" t="s">
        <v>101</v>
      </c>
      <c r="D56" s="79" t="s">
        <v>102</v>
      </c>
    </row>
    <row r="57" spans="2:4">
      <c r="B57" s="79" t="s">
        <v>103</v>
      </c>
      <c r="C57" s="79" t="s">
        <v>104</v>
      </c>
      <c r="D57" s="79" t="s">
        <v>105</v>
      </c>
    </row>
    <row r="58" spans="2:4">
      <c r="B58" s="79" t="s">
        <v>106</v>
      </c>
      <c r="C58" s="79" t="s">
        <v>107</v>
      </c>
      <c r="D58" s="79" t="s">
        <v>108</v>
      </c>
    </row>
    <row r="59" spans="2:4">
      <c r="B59" s="79" t="s">
        <v>109</v>
      </c>
      <c r="C59" s="79" t="s">
        <v>110</v>
      </c>
      <c r="D59" s="79" t="s">
        <v>111</v>
      </c>
    </row>
    <row r="60" spans="2:4">
      <c r="B60" s="80" t="s">
        <v>112</v>
      </c>
      <c r="C60" s="79" t="s">
        <v>113</v>
      </c>
      <c r="D60" s="79" t="s">
        <v>114</v>
      </c>
    </row>
    <row r="61" spans="2:4">
      <c r="B61" s="80" t="s">
        <v>115</v>
      </c>
      <c r="C61" s="79" t="s">
        <v>116</v>
      </c>
      <c r="D61" s="79" t="s">
        <v>117</v>
      </c>
    </row>
    <row r="62" spans="2:4">
      <c r="B62" s="80" t="s">
        <v>118</v>
      </c>
      <c r="C62" s="79" t="s">
        <v>119</v>
      </c>
      <c r="D62" s="79" t="s">
        <v>64</v>
      </c>
    </row>
    <row r="63" spans="2:4">
      <c r="B63" s="80" t="s">
        <v>120</v>
      </c>
      <c r="C63" s="79" t="s">
        <v>121</v>
      </c>
      <c r="D63" s="79" t="s">
        <v>64</v>
      </c>
    </row>
    <row r="64" spans="2:4">
      <c r="B64" s="80" t="s">
        <v>122</v>
      </c>
      <c r="C64" s="79" t="s">
        <v>123</v>
      </c>
      <c r="D64" s="79" t="s">
        <v>124</v>
      </c>
    </row>
    <row r="65" spans="2:10">
      <c r="B65" s="80" t="s">
        <v>125</v>
      </c>
      <c r="C65" s="79" t="s">
        <v>126</v>
      </c>
      <c r="D65" s="79" t="s">
        <v>127</v>
      </c>
    </row>
    <row r="66" spans="2:10">
      <c r="B66" s="81" t="s">
        <v>128</v>
      </c>
      <c r="C66" s="79" t="s">
        <v>129</v>
      </c>
      <c r="D66" s="79" t="s">
        <v>130</v>
      </c>
    </row>
    <row r="67" spans="2:10">
      <c r="B67" s="81" t="s">
        <v>131</v>
      </c>
      <c r="C67" s="79" t="s">
        <v>132</v>
      </c>
      <c r="D67" s="79" t="s">
        <v>133</v>
      </c>
    </row>
    <row r="68" spans="2:10">
      <c r="B68" s="81" t="s">
        <v>134</v>
      </c>
      <c r="C68" s="79" t="s">
        <v>135</v>
      </c>
      <c r="D68" s="79" t="s">
        <v>136</v>
      </c>
    </row>
    <row r="69" spans="2:10">
      <c r="B69" s="81" t="s">
        <v>137</v>
      </c>
      <c r="C69" s="79" t="s">
        <v>138</v>
      </c>
      <c r="D69" s="79" t="s">
        <v>139</v>
      </c>
    </row>
    <row r="71" spans="2:10">
      <c r="B71" s="129" t="s">
        <v>140</v>
      </c>
      <c r="C71" s="130"/>
    </row>
    <row r="72" spans="2:10">
      <c r="B72" s="131" t="s">
        <v>141</v>
      </c>
    </row>
    <row r="73" spans="2:10">
      <c r="B73" s="131" t="s">
        <v>142</v>
      </c>
    </row>
    <row r="76" spans="2:10">
      <c r="B76" s="126" t="s">
        <v>143</v>
      </c>
    </row>
    <row r="77" spans="2:10">
      <c r="B77" s="83" t="s">
        <v>144</v>
      </c>
      <c r="C77" s="83" t="s">
        <v>145</v>
      </c>
      <c r="D77" s="83" t="s">
        <v>140</v>
      </c>
      <c r="E77" s="115"/>
      <c r="F77" s="115"/>
      <c r="G77" s="115"/>
      <c r="H77" s="115"/>
      <c r="I77" s="115"/>
      <c r="J77" s="115"/>
    </row>
    <row r="78" spans="2:10">
      <c r="B78" s="116" t="s">
        <v>146</v>
      </c>
      <c r="C78" s="116">
        <v>1.9</v>
      </c>
      <c r="D78" s="117" t="s">
        <v>186</v>
      </c>
      <c r="E78" s="115"/>
      <c r="F78" s="115"/>
      <c r="G78" s="115"/>
      <c r="H78" s="115"/>
      <c r="I78" s="115"/>
      <c r="J78" s="115"/>
    </row>
    <row r="79" spans="2:10">
      <c r="B79" s="116" t="s">
        <v>187</v>
      </c>
      <c r="C79" s="116">
        <v>11</v>
      </c>
      <c r="D79" s="117" t="s">
        <v>192</v>
      </c>
      <c r="E79" s="115"/>
      <c r="F79" s="115"/>
      <c r="G79" s="115"/>
      <c r="H79" s="115"/>
      <c r="I79" s="115"/>
      <c r="J79" s="115"/>
    </row>
    <row r="80" spans="2:10">
      <c r="B80" s="116" t="s">
        <v>147</v>
      </c>
      <c r="C80" s="116">
        <v>28</v>
      </c>
      <c r="D80" s="172" t="str">
        <f>Assumptions!$C$27</f>
        <v>https://www.gov.uk/government/publications/rtfo-and-saf-mandate-technical-information</v>
      </c>
      <c r="E80" s="115"/>
      <c r="F80" s="115"/>
      <c r="G80" s="115"/>
      <c r="H80" s="115"/>
      <c r="I80" s="115"/>
      <c r="J80" s="115"/>
    </row>
    <row r="81" spans="2:4">
      <c r="B81" s="116" t="s">
        <v>148</v>
      </c>
      <c r="C81" s="116">
        <v>265</v>
      </c>
      <c r="D81" s="172" t="str">
        <f>Assumptions!$C$27</f>
        <v>https://www.gov.uk/government/publications/rtfo-and-saf-mandate-technical-information</v>
      </c>
    </row>
    <row r="82" spans="2:4">
      <c r="B82" s="126"/>
    </row>
  </sheetData>
  <hyperlinks>
    <hyperlink ref="D78" r:id="rId1" xr:uid="{00000000-0004-0000-0200-000000000000}"/>
    <hyperlink ref="D79" r:id="rId2" xr:uid="{936FCBFA-3E4B-47E4-ABD8-113A1E56E0AA}"/>
    <hyperlink ref="D80" r:id="rId3" display="https://www.gov.uk/government/publications/renewable-transport-fuel-obligation-rtfo-compliance-reporting-and-verification" xr:uid="{4FC56B1E-DD0F-4F6A-9423-CAB9FE6422DD}"/>
    <hyperlink ref="D81" r:id="rId4" display="https://www.gov.uk/government/publications/renewable-transport-fuel-obligation-rtfo-compliance-reporting-and-verification" xr:uid="{D37B9D50-F6F0-4478-9F54-5D468788D003}"/>
  </hyperlinks>
  <pageMargins left="0.70000000000000007" right="0.70000000000000007" top="0.75" bottom="0.75" header="0.30000000000000004" footer="0.30000000000000004"/>
  <pageSetup paperSize="9" orientation="portrait"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79998168889431442"/>
  </sheetPr>
  <dimension ref="B2:BE54"/>
  <sheetViews>
    <sheetView showGridLines="0" zoomScale="85" zoomScaleNormal="85" workbookViewId="0"/>
  </sheetViews>
  <sheetFormatPr defaultColWidth="10" defaultRowHeight="15" customHeight="1"/>
  <cols>
    <col min="1" max="1" width="6.7109375" customWidth="1"/>
    <col min="2" max="2" width="66.28515625" customWidth="1"/>
    <col min="3" max="38" width="7.7109375" customWidth="1"/>
  </cols>
  <sheetData>
    <row r="2" spans="2:50" ht="18">
      <c r="B2" s="24" t="s">
        <v>384</v>
      </c>
    </row>
    <row r="3" spans="2:50">
      <c r="B3" s="57"/>
      <c r="C3" s="56"/>
      <c r="D3" s="56"/>
      <c r="E3" s="56"/>
      <c r="F3" s="56"/>
      <c r="G3" s="56"/>
      <c r="H3" s="56"/>
      <c r="I3" s="56"/>
      <c r="J3" s="56"/>
      <c r="K3" s="56"/>
      <c r="L3" s="56"/>
      <c r="M3" s="56"/>
      <c r="N3" s="56"/>
      <c r="O3" s="56"/>
      <c r="P3" s="56"/>
      <c r="Q3" s="56"/>
    </row>
    <row r="4" spans="2:50" s="56" customFormat="1">
      <c r="B4" s="64" t="s">
        <v>383</v>
      </c>
      <c r="C4" s="120">
        <v>2021</v>
      </c>
      <c r="D4" s="120">
        <v>2022</v>
      </c>
      <c r="E4" s="120">
        <v>2023</v>
      </c>
      <c r="F4" s="120">
        <v>2024</v>
      </c>
      <c r="G4" s="65">
        <f t="shared" ref="G4:T4" si="0">F4+1</f>
        <v>2025</v>
      </c>
      <c r="H4" s="65">
        <f t="shared" si="0"/>
        <v>2026</v>
      </c>
      <c r="I4" s="65">
        <f t="shared" si="0"/>
        <v>2027</v>
      </c>
      <c r="J4" s="65">
        <f t="shared" si="0"/>
        <v>2028</v>
      </c>
      <c r="K4" s="65">
        <f t="shared" si="0"/>
        <v>2029</v>
      </c>
      <c r="L4" s="65">
        <f t="shared" si="0"/>
        <v>2030</v>
      </c>
      <c r="M4" s="65">
        <f t="shared" si="0"/>
        <v>2031</v>
      </c>
      <c r="N4" s="65">
        <f t="shared" si="0"/>
        <v>2032</v>
      </c>
      <c r="O4" s="65">
        <f t="shared" si="0"/>
        <v>2033</v>
      </c>
      <c r="P4" s="65">
        <f t="shared" si="0"/>
        <v>2034</v>
      </c>
      <c r="Q4" s="65">
        <f t="shared" si="0"/>
        <v>2035</v>
      </c>
      <c r="R4" s="65">
        <f t="shared" si="0"/>
        <v>2036</v>
      </c>
      <c r="S4" s="65">
        <f t="shared" si="0"/>
        <v>2037</v>
      </c>
      <c r="T4" s="65">
        <f t="shared" si="0"/>
        <v>2038</v>
      </c>
      <c r="U4" s="65">
        <f t="shared" ref="U4" si="1">T4+1</f>
        <v>2039</v>
      </c>
      <c r="V4" s="65">
        <f t="shared" ref="V4" si="2">U4+1</f>
        <v>2040</v>
      </c>
      <c r="W4" s="65">
        <f t="shared" ref="W4" si="3">V4+1</f>
        <v>2041</v>
      </c>
      <c r="X4" s="65">
        <f t="shared" ref="X4" si="4">W4+1</f>
        <v>2042</v>
      </c>
      <c r="Y4" s="65">
        <f t="shared" ref="Y4" si="5">X4+1</f>
        <v>2043</v>
      </c>
      <c r="Z4" s="65">
        <f t="shared" ref="Z4" si="6">Y4+1</f>
        <v>2044</v>
      </c>
      <c r="AA4" s="65">
        <f t="shared" ref="AA4" si="7">Z4+1</f>
        <v>2045</v>
      </c>
      <c r="AB4" s="65">
        <f t="shared" ref="AB4" si="8">AA4+1</f>
        <v>2046</v>
      </c>
      <c r="AC4" s="65">
        <f t="shared" ref="AC4" si="9">AB4+1</f>
        <v>2047</v>
      </c>
      <c r="AD4" s="65">
        <f t="shared" ref="AD4" si="10">AC4+1</f>
        <v>2048</v>
      </c>
      <c r="AE4" s="65">
        <f t="shared" ref="AE4" si="11">AD4+1</f>
        <v>2049</v>
      </c>
      <c r="AF4" s="65">
        <f t="shared" ref="AF4" si="12">AE4+1</f>
        <v>2050</v>
      </c>
    </row>
    <row r="5" spans="2:50">
      <c r="B5" s="123" t="s">
        <v>233</v>
      </c>
      <c r="C5" s="26"/>
      <c r="D5" s="26"/>
      <c r="E5" s="26"/>
      <c r="F5" s="67"/>
      <c r="G5" s="67">
        <v>31</v>
      </c>
      <c r="H5" s="67">
        <v>31</v>
      </c>
      <c r="I5" s="67">
        <v>31</v>
      </c>
      <c r="J5" s="67">
        <v>31</v>
      </c>
      <c r="K5" s="67">
        <v>31</v>
      </c>
      <c r="L5" s="67">
        <v>31</v>
      </c>
      <c r="M5" s="67">
        <v>31</v>
      </c>
      <c r="N5" s="67">
        <v>31</v>
      </c>
      <c r="O5" s="67">
        <v>31</v>
      </c>
      <c r="P5" s="67">
        <v>31</v>
      </c>
      <c r="Q5" s="67">
        <v>31</v>
      </c>
      <c r="R5" s="67">
        <v>31</v>
      </c>
      <c r="S5" s="67">
        <v>31</v>
      </c>
      <c r="T5" s="67">
        <v>31</v>
      </c>
      <c r="U5" s="67">
        <v>31</v>
      </c>
      <c r="V5" s="67">
        <v>31</v>
      </c>
      <c r="W5" s="67">
        <v>31</v>
      </c>
      <c r="X5" s="67">
        <v>31</v>
      </c>
      <c r="Y5" s="67">
        <v>31</v>
      </c>
      <c r="Z5" s="67">
        <v>31</v>
      </c>
      <c r="AA5" s="67">
        <v>31</v>
      </c>
      <c r="AB5" s="67">
        <v>31</v>
      </c>
      <c r="AC5" s="67">
        <v>31</v>
      </c>
      <c r="AD5" s="67">
        <v>31</v>
      </c>
      <c r="AE5" s="67">
        <v>31</v>
      </c>
      <c r="AF5" s="67">
        <v>31</v>
      </c>
    </row>
    <row r="6" spans="2:50">
      <c r="B6" s="123" t="s">
        <v>234</v>
      </c>
      <c r="C6" s="26"/>
      <c r="D6" s="26"/>
      <c r="E6" s="26"/>
      <c r="F6" s="67"/>
      <c r="G6" s="67">
        <v>31</v>
      </c>
      <c r="H6" s="67">
        <v>31</v>
      </c>
      <c r="I6" s="67">
        <v>31</v>
      </c>
      <c r="J6" s="67">
        <v>31</v>
      </c>
      <c r="K6" s="67">
        <v>31</v>
      </c>
      <c r="L6" s="67">
        <v>31</v>
      </c>
      <c r="M6" s="67">
        <v>31</v>
      </c>
      <c r="N6" s="67">
        <v>31</v>
      </c>
      <c r="O6" s="67">
        <v>31</v>
      </c>
      <c r="P6" s="67">
        <v>31</v>
      </c>
      <c r="Q6" s="67">
        <v>31</v>
      </c>
      <c r="R6" s="67">
        <v>31</v>
      </c>
      <c r="S6" s="67">
        <v>31</v>
      </c>
      <c r="T6" s="67">
        <v>31</v>
      </c>
      <c r="U6" s="67">
        <v>31</v>
      </c>
      <c r="V6" s="67">
        <v>31</v>
      </c>
      <c r="W6" s="67">
        <v>31</v>
      </c>
      <c r="X6" s="67">
        <v>31</v>
      </c>
      <c r="Y6" s="67">
        <v>31</v>
      </c>
      <c r="Z6" s="67">
        <v>31</v>
      </c>
      <c r="AA6" s="67">
        <v>31</v>
      </c>
      <c r="AB6" s="67">
        <v>31</v>
      </c>
      <c r="AC6" s="67">
        <v>31</v>
      </c>
      <c r="AD6" s="67">
        <v>31</v>
      </c>
      <c r="AE6" s="67">
        <v>31</v>
      </c>
      <c r="AF6" s="67">
        <v>31</v>
      </c>
    </row>
    <row r="7" spans="2:50">
      <c r="B7" s="123" t="s">
        <v>235</v>
      </c>
      <c r="C7" s="26"/>
      <c r="D7" s="26"/>
      <c r="E7" s="26"/>
      <c r="F7" s="67"/>
      <c r="G7" s="67">
        <v>31</v>
      </c>
      <c r="H7" s="67">
        <v>31</v>
      </c>
      <c r="I7" s="67">
        <v>31</v>
      </c>
      <c r="J7" s="67">
        <v>31</v>
      </c>
      <c r="K7" s="67">
        <v>31</v>
      </c>
      <c r="L7" s="67">
        <v>31</v>
      </c>
      <c r="M7" s="67">
        <v>31</v>
      </c>
      <c r="N7" s="67">
        <v>31</v>
      </c>
      <c r="O7" s="67">
        <v>31</v>
      </c>
      <c r="P7" s="67">
        <v>31</v>
      </c>
      <c r="Q7" s="67">
        <v>31</v>
      </c>
      <c r="R7" s="67">
        <v>31</v>
      </c>
      <c r="S7" s="67">
        <v>31</v>
      </c>
      <c r="T7" s="67">
        <v>31</v>
      </c>
      <c r="U7" s="67">
        <v>31</v>
      </c>
      <c r="V7" s="67">
        <v>31</v>
      </c>
      <c r="W7" s="67">
        <v>31</v>
      </c>
      <c r="X7" s="67">
        <v>31</v>
      </c>
      <c r="Y7" s="67">
        <v>31</v>
      </c>
      <c r="Z7" s="67">
        <v>31</v>
      </c>
      <c r="AA7" s="67">
        <v>31</v>
      </c>
      <c r="AB7" s="67">
        <v>31</v>
      </c>
      <c r="AC7" s="67">
        <v>31</v>
      </c>
      <c r="AD7" s="67">
        <v>31</v>
      </c>
      <c r="AE7" s="67">
        <v>31</v>
      </c>
      <c r="AF7" s="67">
        <v>31</v>
      </c>
    </row>
    <row r="8" spans="2:50">
      <c r="B8" s="123" t="s">
        <v>236</v>
      </c>
      <c r="C8" s="26"/>
      <c r="D8" s="26"/>
      <c r="E8" s="26"/>
      <c r="F8" s="66"/>
      <c r="G8" s="66">
        <v>43.08</v>
      </c>
      <c r="H8" s="66">
        <v>41.518000000000001</v>
      </c>
      <c r="I8" s="66">
        <v>41.821600000000004</v>
      </c>
      <c r="J8" s="66">
        <v>38.622799999999998</v>
      </c>
      <c r="K8" s="66">
        <v>36.097200000000001</v>
      </c>
      <c r="L8" s="66">
        <v>31.881999999999998</v>
      </c>
      <c r="M8" s="66">
        <v>29.2684</v>
      </c>
      <c r="N8" s="66">
        <v>27.433600000000002</v>
      </c>
      <c r="O8" s="66">
        <v>25.365600000000001</v>
      </c>
      <c r="P8" s="66">
        <v>23.948799999999999</v>
      </c>
      <c r="Q8" s="66">
        <v>23.5</v>
      </c>
      <c r="R8" s="66">
        <v>23.5</v>
      </c>
      <c r="S8" s="66">
        <v>23.5</v>
      </c>
      <c r="T8" s="66">
        <v>23.5</v>
      </c>
      <c r="U8" s="66">
        <v>23.5</v>
      </c>
      <c r="V8" s="66">
        <v>23.5</v>
      </c>
      <c r="W8" s="66">
        <v>23.5</v>
      </c>
      <c r="X8" s="66">
        <v>23.5</v>
      </c>
      <c r="Y8" s="66">
        <v>23.5</v>
      </c>
      <c r="Z8" s="66">
        <v>23.5</v>
      </c>
      <c r="AA8" s="66">
        <v>23.5</v>
      </c>
      <c r="AB8" s="66">
        <v>23.5</v>
      </c>
      <c r="AC8" s="66">
        <v>23.5</v>
      </c>
      <c r="AD8" s="66">
        <v>23.5</v>
      </c>
      <c r="AE8" s="66">
        <v>23.5</v>
      </c>
      <c r="AF8" s="66">
        <v>23.5</v>
      </c>
    </row>
    <row r="9" spans="2:50"/>
    <row r="10" spans="2:50">
      <c r="B10" t="s">
        <v>320</v>
      </c>
    </row>
    <row r="11" spans="2:50"/>
    <row r="12" spans="2:50"/>
    <row r="13" spans="2:50" ht="15" customHeight="1">
      <c r="B13" s="24" t="s">
        <v>193</v>
      </c>
    </row>
    <row r="15" spans="2:50" ht="15" customHeight="1">
      <c r="B15" s="118" t="s">
        <v>383</v>
      </c>
      <c r="C15" s="120">
        <v>2021</v>
      </c>
      <c r="D15" s="120">
        <v>2022</v>
      </c>
      <c r="E15" s="120">
        <v>2023</v>
      </c>
      <c r="F15" s="120">
        <v>2024</v>
      </c>
      <c r="G15" s="121">
        <f t="shared" ref="G15:T15" si="13">F15+1</f>
        <v>2025</v>
      </c>
      <c r="H15" s="121">
        <f t="shared" si="13"/>
        <v>2026</v>
      </c>
      <c r="I15" s="121">
        <f t="shared" si="13"/>
        <v>2027</v>
      </c>
      <c r="J15" s="121">
        <f t="shared" si="13"/>
        <v>2028</v>
      </c>
      <c r="K15" s="121">
        <f t="shared" si="13"/>
        <v>2029</v>
      </c>
      <c r="L15" s="121">
        <f t="shared" si="13"/>
        <v>2030</v>
      </c>
      <c r="M15" s="121">
        <f t="shared" si="13"/>
        <v>2031</v>
      </c>
      <c r="N15" s="121">
        <f t="shared" si="13"/>
        <v>2032</v>
      </c>
      <c r="O15" s="121">
        <f t="shared" si="13"/>
        <v>2033</v>
      </c>
      <c r="P15" s="121">
        <f t="shared" si="13"/>
        <v>2034</v>
      </c>
      <c r="Q15" s="121">
        <f t="shared" si="13"/>
        <v>2035</v>
      </c>
      <c r="R15" s="121">
        <f t="shared" si="13"/>
        <v>2036</v>
      </c>
      <c r="S15" s="121">
        <f t="shared" si="13"/>
        <v>2037</v>
      </c>
      <c r="T15" s="121">
        <f t="shared" si="13"/>
        <v>2038</v>
      </c>
      <c r="U15" s="121">
        <f t="shared" ref="U15" si="14">T15+1</f>
        <v>2039</v>
      </c>
      <c r="V15" s="121">
        <f t="shared" ref="V15" si="15">U15+1</f>
        <v>2040</v>
      </c>
      <c r="W15" s="121">
        <f t="shared" ref="W15" si="16">V15+1</f>
        <v>2041</v>
      </c>
      <c r="X15" s="121">
        <f t="shared" ref="X15" si="17">W15+1</f>
        <v>2042</v>
      </c>
      <c r="Y15" s="121">
        <f t="shared" ref="Y15" si="18">X15+1</f>
        <v>2043</v>
      </c>
      <c r="Z15" s="121">
        <f t="shared" ref="Z15" si="19">Y15+1</f>
        <v>2044</v>
      </c>
      <c r="AA15" s="121">
        <f t="shared" ref="AA15" si="20">Z15+1</f>
        <v>2045</v>
      </c>
      <c r="AB15" s="121">
        <f t="shared" ref="AB15" si="21">AA15+1</f>
        <v>2046</v>
      </c>
      <c r="AC15" s="121">
        <f t="shared" ref="AC15" si="22">AB15+1</f>
        <v>2047</v>
      </c>
      <c r="AD15" s="121">
        <f t="shared" ref="AD15" si="23">AC15+1</f>
        <v>2048</v>
      </c>
      <c r="AE15" s="121">
        <f t="shared" ref="AE15" si="24">AD15+1</f>
        <v>2049</v>
      </c>
      <c r="AF15" s="121">
        <f t="shared" ref="AF15" si="25">AE15+1</f>
        <v>2050</v>
      </c>
    </row>
    <row r="16" spans="2:50" ht="15" customHeight="1">
      <c r="B16" s="123" t="s">
        <v>341</v>
      </c>
      <c r="C16" s="122"/>
      <c r="D16" s="122"/>
      <c r="E16" s="122"/>
      <c r="F16" s="122"/>
      <c r="G16" s="171">
        <v>44.500000000000007</v>
      </c>
      <c r="H16" s="171">
        <v>40.949999999999996</v>
      </c>
      <c r="I16" s="171">
        <v>41.64</v>
      </c>
      <c r="J16" s="171">
        <v>34.369999999999997</v>
      </c>
      <c r="K16" s="171">
        <v>28.63</v>
      </c>
      <c r="L16" s="171">
        <v>19.05</v>
      </c>
      <c r="M16" s="171">
        <v>13.110000000000001</v>
      </c>
      <c r="N16" s="171">
        <v>8.9400000000000013</v>
      </c>
      <c r="O16" s="171">
        <v>4.2399999999999993</v>
      </c>
      <c r="P16" s="171">
        <v>1.02</v>
      </c>
      <c r="Q16" s="171">
        <v>0</v>
      </c>
      <c r="R16" s="171">
        <v>0</v>
      </c>
      <c r="S16" s="171">
        <v>0</v>
      </c>
      <c r="T16" s="171">
        <v>0</v>
      </c>
      <c r="U16" s="171">
        <v>0</v>
      </c>
      <c r="V16" s="171">
        <v>0</v>
      </c>
      <c r="W16" s="171">
        <v>0</v>
      </c>
      <c r="X16" s="171">
        <v>0</v>
      </c>
      <c r="Y16" s="171">
        <v>0</v>
      </c>
      <c r="Z16" s="171">
        <v>0</v>
      </c>
      <c r="AA16" s="171">
        <v>0</v>
      </c>
      <c r="AB16" s="171">
        <v>0</v>
      </c>
      <c r="AC16" s="171">
        <v>0</v>
      </c>
      <c r="AD16" s="171">
        <v>0</v>
      </c>
      <c r="AE16" s="171">
        <v>0</v>
      </c>
      <c r="AF16" s="171">
        <v>0</v>
      </c>
      <c r="AL16" s="40"/>
      <c r="AM16" s="40"/>
      <c r="AN16" s="40"/>
      <c r="AO16" s="40"/>
      <c r="AP16" s="40"/>
      <c r="AQ16" s="40"/>
      <c r="AR16" s="40"/>
      <c r="AS16" s="40"/>
      <c r="AT16" s="40"/>
      <c r="AU16" s="40"/>
      <c r="AV16" s="40"/>
      <c r="AW16" s="40"/>
      <c r="AX16" s="40"/>
    </row>
    <row r="17" spans="2:57" ht="15" customHeight="1">
      <c r="H17" s="55"/>
      <c r="I17" s="55"/>
      <c r="J17" s="55"/>
      <c r="K17" s="55"/>
      <c r="L17" s="55"/>
      <c r="AF17" s="40"/>
      <c r="AG17" s="40"/>
      <c r="AH17" s="40"/>
      <c r="AI17" s="40"/>
      <c r="AJ17" s="40"/>
      <c r="AK17" s="40"/>
      <c r="AL17" s="40"/>
      <c r="AM17" s="40"/>
      <c r="AN17" s="40"/>
      <c r="AO17" s="40"/>
      <c r="AP17" s="40"/>
      <c r="AQ17" s="40"/>
      <c r="AR17" s="40"/>
      <c r="AS17" s="40"/>
      <c r="AT17" s="40"/>
      <c r="AU17" s="40"/>
      <c r="AV17" s="40"/>
      <c r="AW17" s="40"/>
      <c r="AX17" s="40"/>
    </row>
    <row r="18" spans="2:57" ht="15" customHeight="1">
      <c r="B18" s="59" t="s">
        <v>343</v>
      </c>
      <c r="AL18" s="41"/>
      <c r="AM18" s="40"/>
      <c r="AN18" s="41"/>
      <c r="AO18" s="40"/>
      <c r="AP18" s="41"/>
      <c r="AQ18" s="40"/>
      <c r="AR18" s="41"/>
      <c r="AS18" s="40"/>
      <c r="AT18" s="41"/>
      <c r="AU18" s="40"/>
      <c r="AV18" s="41"/>
      <c r="AW18" s="40"/>
      <c r="AX18" s="41"/>
      <c r="AY18" s="40"/>
      <c r="AZ18" s="41"/>
      <c r="BA18" s="40"/>
      <c r="BB18" s="41"/>
      <c r="BC18" s="40"/>
      <c r="BD18" s="41"/>
      <c r="BE18" s="40"/>
    </row>
    <row r="19" spans="2:57" ht="15" customHeight="1">
      <c r="B19" s="59" t="s">
        <v>344</v>
      </c>
      <c r="AL19" s="41"/>
      <c r="AM19" s="40"/>
      <c r="AN19" s="41"/>
      <c r="AO19" s="40"/>
      <c r="AP19" s="41"/>
      <c r="AQ19" s="40"/>
      <c r="AR19" s="41"/>
      <c r="AS19" s="40"/>
      <c r="AT19" s="41"/>
      <c r="AU19" s="40"/>
      <c r="AV19" s="41"/>
      <c r="AW19" s="40"/>
      <c r="AX19" s="41"/>
      <c r="AY19" s="40"/>
      <c r="AZ19" s="41"/>
      <c r="BA19" s="40"/>
      <c r="BB19" s="41"/>
      <c r="BC19" s="40"/>
      <c r="BD19" s="41"/>
      <c r="BE19" s="40"/>
    </row>
    <row r="20" spans="2:57" ht="15" customHeight="1">
      <c r="B20" t="s">
        <v>345</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1"/>
      <c r="AC20" s="40"/>
      <c r="AD20" s="41"/>
      <c r="AE20" s="40"/>
      <c r="AF20" s="41"/>
      <c r="AG20" s="40"/>
      <c r="AH20" s="41"/>
      <c r="AI20" s="40"/>
      <c r="AJ20" s="41"/>
      <c r="AK20" s="40"/>
      <c r="AL20" s="41"/>
      <c r="AM20" s="40"/>
      <c r="AN20" s="41"/>
      <c r="AO20" s="40"/>
      <c r="AP20" s="41"/>
      <c r="AQ20" s="40"/>
      <c r="AR20" s="41"/>
      <c r="AS20" s="40"/>
      <c r="AT20" s="41"/>
      <c r="AU20" s="40"/>
      <c r="AV20" s="41"/>
      <c r="AW20" s="40"/>
      <c r="AX20" s="41"/>
      <c r="AY20" s="40"/>
      <c r="AZ20" s="41"/>
      <c r="BA20" s="40"/>
      <c r="BB20" s="41"/>
      <c r="BC20" s="40"/>
      <c r="BD20" s="41"/>
      <c r="BE20" s="40"/>
    </row>
    <row r="21" spans="2:57" ht="15" customHeight="1">
      <c r="B21" s="59" t="s">
        <v>382</v>
      </c>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1"/>
      <c r="AC21" s="40"/>
      <c r="AD21" s="41"/>
      <c r="AE21" s="40"/>
      <c r="AF21" s="41"/>
      <c r="AG21" s="40"/>
      <c r="AH21" s="41"/>
      <c r="AI21" s="40"/>
      <c r="AJ21" s="41"/>
      <c r="AK21" s="40"/>
      <c r="AL21" s="41"/>
      <c r="AM21" s="40"/>
      <c r="AN21" s="41"/>
      <c r="AO21" s="40"/>
      <c r="AP21" s="41"/>
      <c r="AQ21" s="40"/>
      <c r="AR21" s="41"/>
      <c r="AS21" s="40"/>
      <c r="AT21" s="41"/>
      <c r="AU21" s="40"/>
      <c r="AV21" s="41"/>
      <c r="AW21" s="40"/>
      <c r="AX21" s="41"/>
      <c r="AY21" s="40"/>
      <c r="AZ21" s="41"/>
      <c r="BA21" s="40"/>
      <c r="BB21" s="41"/>
      <c r="BC21" s="40"/>
      <c r="BD21" s="41"/>
      <c r="BE21" s="40"/>
    </row>
    <row r="22" spans="2:57" ht="15" customHeight="1">
      <c r="B22" t="s">
        <v>323</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1"/>
      <c r="AC22" s="40"/>
      <c r="AD22" s="41"/>
      <c r="AE22" s="40"/>
      <c r="AF22" s="41"/>
      <c r="AG22" s="40"/>
      <c r="AH22" s="41"/>
      <c r="AI22" s="40"/>
      <c r="AJ22" s="41"/>
      <c r="AK22" s="40"/>
      <c r="AL22" s="41"/>
      <c r="AM22" s="40"/>
      <c r="AN22" s="41"/>
      <c r="AO22" s="40"/>
      <c r="AP22" s="41"/>
      <c r="AQ22" s="40"/>
      <c r="AR22" s="41"/>
      <c r="AS22" s="40"/>
      <c r="AT22" s="41"/>
      <c r="AU22" s="40"/>
      <c r="AV22" s="41"/>
      <c r="AW22" s="40"/>
      <c r="AX22" s="41"/>
      <c r="AY22" s="40"/>
      <c r="AZ22" s="41"/>
      <c r="BA22" s="40"/>
      <c r="BB22" s="41"/>
      <c r="BC22" s="40"/>
      <c r="BD22" s="41"/>
      <c r="BE22" s="40"/>
    </row>
    <row r="23" spans="2:57" ht="15" customHeight="1">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1"/>
      <c r="AC23" s="40"/>
      <c r="AD23" s="41"/>
      <c r="AE23" s="40"/>
      <c r="AF23" s="41"/>
      <c r="AG23" s="40"/>
      <c r="AH23" s="41"/>
      <c r="AI23" s="40"/>
      <c r="AJ23" s="41"/>
      <c r="AK23" s="40"/>
      <c r="AL23" s="41"/>
      <c r="AM23" s="40"/>
      <c r="AN23" s="41"/>
      <c r="AO23" s="40"/>
      <c r="AP23" s="41"/>
      <c r="AQ23" s="40"/>
      <c r="AR23" s="41"/>
      <c r="AS23" s="40"/>
      <c r="AT23" s="41"/>
      <c r="AU23" s="40"/>
      <c r="AV23" s="41"/>
      <c r="AW23" s="40"/>
      <c r="AX23" s="41"/>
      <c r="AY23" s="40"/>
      <c r="AZ23" s="41"/>
      <c r="BA23" s="40"/>
      <c r="BB23" s="41"/>
      <c r="BC23" s="40"/>
      <c r="BD23" s="41"/>
      <c r="BE23" s="40"/>
    </row>
    <row r="24" spans="2:57" ht="15" customHeight="1">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1"/>
      <c r="AC24" s="40"/>
      <c r="AD24" s="41"/>
      <c r="AE24" s="40"/>
      <c r="AF24" s="41"/>
      <c r="AG24" s="40"/>
      <c r="AH24" s="41"/>
      <c r="AI24" s="40"/>
      <c r="AJ24" s="41"/>
      <c r="AK24" s="40"/>
      <c r="AL24" s="41"/>
      <c r="AM24" s="40"/>
      <c r="AN24" s="41"/>
      <c r="AO24" s="40"/>
      <c r="AP24" s="41"/>
      <c r="AQ24" s="40"/>
      <c r="AR24" s="41"/>
      <c r="AS24" s="40"/>
      <c r="AT24" s="41"/>
      <c r="AU24" s="40"/>
      <c r="AV24" s="41"/>
      <c r="AW24" s="40"/>
      <c r="AX24" s="41"/>
      <c r="AY24" s="40"/>
      <c r="AZ24" s="41"/>
      <c r="BA24" s="40"/>
      <c r="BB24" s="41"/>
      <c r="BC24" s="40"/>
      <c r="BD24" s="41"/>
      <c r="BE24" s="40"/>
    </row>
    <row r="25" spans="2:57" ht="15" customHeight="1">
      <c r="B25" s="42" t="s">
        <v>149</v>
      </c>
      <c r="C25" s="42" t="s">
        <v>140</v>
      </c>
      <c r="E25" s="42"/>
      <c r="F25" s="42"/>
      <c r="G25" s="40"/>
      <c r="H25" s="40"/>
      <c r="I25" s="40"/>
      <c r="J25" s="40"/>
      <c r="K25" s="40"/>
      <c r="L25" s="40"/>
      <c r="M25" s="40"/>
      <c r="N25" s="40"/>
      <c r="O25" s="40"/>
      <c r="P25" s="40"/>
      <c r="Q25" s="40"/>
      <c r="R25" s="40"/>
      <c r="S25" s="40"/>
      <c r="T25" s="40"/>
      <c r="U25" s="40"/>
      <c r="V25" s="40"/>
      <c r="W25" s="40"/>
      <c r="X25" s="40"/>
      <c r="Y25" s="40"/>
      <c r="Z25" s="40"/>
      <c r="AA25" s="40"/>
      <c r="AB25" s="41"/>
      <c r="AC25" s="40"/>
      <c r="AD25" s="41"/>
      <c r="AE25" s="40"/>
      <c r="AF25" s="41"/>
      <c r="AG25" s="40"/>
      <c r="AH25" s="41"/>
      <c r="AI25" s="40"/>
      <c r="AJ25" s="41"/>
      <c r="AK25" s="40"/>
      <c r="AL25" s="41"/>
      <c r="AM25" s="40"/>
      <c r="AN25" s="41"/>
      <c r="AO25" s="40"/>
      <c r="AP25" s="41"/>
      <c r="AQ25" s="40"/>
      <c r="AR25" s="41"/>
      <c r="AS25" s="40"/>
      <c r="AT25" s="41"/>
      <c r="AU25" s="40"/>
      <c r="AV25" s="41"/>
      <c r="AW25" s="40"/>
      <c r="AX25" s="41"/>
      <c r="AY25" s="40"/>
      <c r="AZ25" s="41"/>
      <c r="BA25" s="40"/>
      <c r="BB25" s="41"/>
      <c r="BC25" s="40"/>
      <c r="BD25" s="41"/>
      <c r="BE25" s="40"/>
    </row>
    <row r="26" spans="2:57" ht="15" customHeight="1">
      <c r="B26" s="43"/>
      <c r="C26" s="43"/>
      <c r="D26" s="43"/>
      <c r="E26" s="43"/>
      <c r="F26" s="43"/>
      <c r="G26" s="40"/>
      <c r="H26" s="40"/>
      <c r="I26" s="40"/>
      <c r="J26" s="40"/>
      <c r="K26" s="40"/>
      <c r="L26" s="40"/>
      <c r="M26" s="40"/>
      <c r="N26" s="40"/>
      <c r="O26" s="40"/>
      <c r="P26" s="40"/>
      <c r="Q26" s="40"/>
      <c r="R26" s="40"/>
      <c r="S26" s="40"/>
      <c r="T26" s="40"/>
      <c r="U26" s="40"/>
      <c r="V26" s="40"/>
      <c r="W26" s="40"/>
      <c r="X26" s="40"/>
      <c r="Y26" s="40"/>
      <c r="Z26" s="40"/>
      <c r="AA26" s="40"/>
      <c r="AB26" s="41"/>
      <c r="AC26" s="40"/>
      <c r="AD26" s="41"/>
      <c r="AE26" s="40"/>
      <c r="AF26" s="41"/>
      <c r="AG26" s="40"/>
      <c r="AH26" s="41"/>
      <c r="AI26" s="40"/>
      <c r="AJ26" s="41"/>
      <c r="AK26" s="40"/>
      <c r="AL26" s="41"/>
      <c r="AM26" s="40"/>
      <c r="AN26" s="41"/>
      <c r="AO26" s="40"/>
      <c r="AP26" s="41"/>
      <c r="AQ26" s="40"/>
      <c r="AR26" s="41"/>
      <c r="AS26" s="40"/>
      <c r="AT26" s="41"/>
      <c r="AU26" s="40"/>
      <c r="AV26" s="41"/>
      <c r="AW26" s="40"/>
      <c r="AX26" s="41"/>
      <c r="AY26" s="40"/>
      <c r="AZ26" s="41"/>
      <c r="BA26" s="40"/>
      <c r="BB26" s="41"/>
      <c r="BC26" s="40"/>
      <c r="BD26" s="41"/>
      <c r="BE26" s="40"/>
    </row>
    <row r="27" spans="2:57" ht="15" customHeight="1">
      <c r="B27" s="43" t="s">
        <v>350</v>
      </c>
      <c r="C27" s="53" t="s">
        <v>351</v>
      </c>
    </row>
    <row r="28" spans="2:57" ht="15" customHeight="1">
      <c r="B28" s="43" t="s">
        <v>348</v>
      </c>
      <c r="C28" s="53" t="s">
        <v>347</v>
      </c>
    </row>
    <row r="29" spans="2:57" ht="15" customHeight="1">
      <c r="B29" s="43" t="s">
        <v>349</v>
      </c>
      <c r="C29" s="53" t="s">
        <v>346</v>
      </c>
    </row>
    <row r="30" spans="2:57" ht="15" customHeight="1">
      <c r="B30" t="s">
        <v>321</v>
      </c>
      <c r="C30" s="53" t="s">
        <v>150</v>
      </c>
    </row>
    <row r="31" spans="2:57" ht="15" customHeight="1">
      <c r="B31" s="42"/>
      <c r="C31" s="42"/>
    </row>
    <row r="32" spans="2:57" ht="15" customHeight="1">
      <c r="B32" s="44" t="s">
        <v>310</v>
      </c>
      <c r="C32" s="25" t="s">
        <v>311</v>
      </c>
    </row>
    <row r="33" spans="2:6" ht="15" customHeight="1">
      <c r="B33" s="43" t="s">
        <v>284</v>
      </c>
      <c r="C33" s="25" t="s">
        <v>283</v>
      </c>
    </row>
    <row r="34" spans="2:6" ht="15" customHeight="1">
      <c r="B34" s="43" t="s">
        <v>196</v>
      </c>
      <c r="C34" s="25" t="s">
        <v>197</v>
      </c>
    </row>
    <row r="35" spans="2:6" ht="15" customHeight="1">
      <c r="C35" s="25"/>
    </row>
    <row r="36" spans="2:6" ht="15" customHeight="1">
      <c r="B36" s="43" t="s">
        <v>312</v>
      </c>
      <c r="C36" s="53" t="s">
        <v>313</v>
      </c>
    </row>
    <row r="37" spans="2:6" ht="15" customHeight="1">
      <c r="B37" s="43" t="s">
        <v>194</v>
      </c>
      <c r="C37" s="53" t="s">
        <v>195</v>
      </c>
    </row>
    <row r="38" spans="2:6" ht="15" customHeight="1">
      <c r="C38" s="25"/>
    </row>
    <row r="39" spans="2:6" ht="15" customHeight="1">
      <c r="B39" s="54" t="s">
        <v>201</v>
      </c>
      <c r="C39" s="25"/>
    </row>
    <row r="40" spans="2:6" ht="15" customHeight="1">
      <c r="B40" t="s">
        <v>317</v>
      </c>
      <c r="C40" s="25" t="s">
        <v>318</v>
      </c>
    </row>
    <row r="41" spans="2:6" ht="15" customHeight="1">
      <c r="B41" s="43" t="s">
        <v>314</v>
      </c>
      <c r="C41" s="25" t="s">
        <v>315</v>
      </c>
    </row>
    <row r="42" spans="2:6" ht="15" customHeight="1">
      <c r="B42" s="43" t="s">
        <v>316</v>
      </c>
      <c r="C42" s="52" t="s">
        <v>319</v>
      </c>
      <c r="E42" s="43"/>
      <c r="F42" s="43"/>
    </row>
    <row r="43" spans="2:6" ht="15" customHeight="1">
      <c r="B43" s="43"/>
      <c r="C43" s="25"/>
    </row>
    <row r="44" spans="2:6" ht="15" customHeight="1">
      <c r="B44" s="44" t="s">
        <v>151</v>
      </c>
      <c r="C44" s="25" t="s">
        <v>152</v>
      </c>
    </row>
    <row r="45" spans="2:6" ht="15" customHeight="1">
      <c r="B45" s="44" t="s">
        <v>153</v>
      </c>
      <c r="C45" s="25" t="s">
        <v>294</v>
      </c>
    </row>
    <row r="46" spans="2:6" ht="15" customHeight="1">
      <c r="B46" s="44" t="s">
        <v>188</v>
      </c>
      <c r="C46" s="25" t="s">
        <v>293</v>
      </c>
    </row>
    <row r="47" spans="2:6" ht="15" customHeight="1">
      <c r="B47" s="44" t="s">
        <v>198</v>
      </c>
      <c r="C47" s="25" t="s">
        <v>199</v>
      </c>
    </row>
    <row r="48" spans="2:6" ht="15" customHeight="1">
      <c r="B48" s="44" t="s">
        <v>200</v>
      </c>
      <c r="C48" s="25" t="s">
        <v>154</v>
      </c>
    </row>
    <row r="49" spans="2:3" ht="15" customHeight="1">
      <c r="B49" s="44"/>
      <c r="C49" s="25"/>
    </row>
    <row r="50" spans="2:3" ht="15" customHeight="1">
      <c r="B50" t="s">
        <v>155</v>
      </c>
      <c r="C50" s="25" t="s">
        <v>189</v>
      </c>
    </row>
    <row r="51" spans="2:3" ht="15" customHeight="1">
      <c r="B51" t="s">
        <v>202</v>
      </c>
      <c r="C51" s="25" t="s">
        <v>190</v>
      </c>
    </row>
    <row r="54" spans="2:3" ht="15" customHeight="1">
      <c r="C54" s="25"/>
    </row>
  </sheetData>
  <hyperlinks>
    <hyperlink ref="C51" r:id="rId1" display="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xr:uid="{FDE91EE5-32FD-45E1-A964-A767B58A1364}"/>
    <hyperlink ref="C44" r:id="rId2" xr:uid="{AAB3F1DA-BA2E-436A-86A3-C4807075174D}"/>
    <hyperlink ref="C30" r:id="rId3" xr:uid="{8E47874F-75FD-4DAC-B9AA-14113F67FF3D}"/>
    <hyperlink ref="C46" r:id="rId4" xr:uid="{902A11EB-EB3C-4775-8FD9-99687ECB412E}"/>
    <hyperlink ref="C50" r:id="rId5" xr:uid="{02116EC2-CC3D-4493-81FA-CB928C6D7F4C}"/>
    <hyperlink ref="C34" r:id="rId6" xr:uid="{36AB4C64-03B2-4833-AB8E-65997256A0F6}"/>
    <hyperlink ref="C37" r:id="rId7" xr:uid="{F13AB89F-1314-41EF-B6F5-13D1E810067E}"/>
    <hyperlink ref="C32" r:id="rId8" xr:uid="{6177F851-42BA-4CD3-A505-32633DB1FE3A}"/>
  </hyperlinks>
  <pageMargins left="0.7" right="0.7" top="0.75" bottom="0.75" header="0.3" footer="0.3"/>
  <pageSetup orientation="portrait" r:id="rId9"/>
  <extLst>
    <ext xmlns:x14="http://schemas.microsoft.com/office/spreadsheetml/2009/9/main" uri="{78C0D931-6437-407d-A8EE-F0AAD7539E65}">
      <x14:conditionalFormattings>
        <x14:conditionalFormatting xmlns:xm="http://schemas.microsoft.com/office/excel/2006/main">
          <x14:cfRule type="expression" priority="4" id="{E343C74A-A7AE-4BF4-A82A-59C5469607BA}">
            <xm:f>G$15=Guidance!$D$18</xm:f>
            <x14:dxf>
              <fill>
                <patternFill>
                  <bgColor rgb="FFFFC000"/>
                </patternFill>
              </fill>
            </x14:dxf>
          </x14:cfRule>
          <xm:sqref>G4:AF8 G15:AF16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B2:L18"/>
  <sheetViews>
    <sheetView showGridLines="0" zoomScale="85" zoomScaleNormal="85" workbookViewId="0"/>
  </sheetViews>
  <sheetFormatPr defaultRowHeight="15"/>
  <cols>
    <col min="1" max="1" width="6.7109375" customWidth="1"/>
    <col min="2" max="2" width="31.28515625" customWidth="1"/>
    <col min="3" max="3" width="12.42578125" customWidth="1"/>
    <col min="4" max="4" width="17.85546875" customWidth="1"/>
    <col min="5" max="5" width="21.28515625" customWidth="1"/>
    <col min="6" max="6" width="25.85546875" customWidth="1"/>
    <col min="7" max="7" width="21.28515625" customWidth="1"/>
    <col min="8" max="9" width="17.5703125" customWidth="1"/>
    <col min="10" max="10" width="20.28515625" customWidth="1"/>
    <col min="11" max="11" width="3.85546875" customWidth="1"/>
    <col min="12" max="18" width="10.7109375" customWidth="1"/>
  </cols>
  <sheetData>
    <row r="2" spans="2:12" ht="81">
      <c r="B2" s="39" t="s">
        <v>286</v>
      </c>
      <c r="C2" s="39" t="s">
        <v>287</v>
      </c>
      <c r="D2" s="39" t="s">
        <v>292</v>
      </c>
      <c r="E2" s="39" t="s">
        <v>291</v>
      </c>
      <c r="F2" s="39" t="s">
        <v>290</v>
      </c>
      <c r="G2" s="39" t="s">
        <v>289</v>
      </c>
      <c r="H2" s="39" t="s">
        <v>156</v>
      </c>
      <c r="I2" s="39" t="s">
        <v>157</v>
      </c>
      <c r="J2" s="39" t="s">
        <v>288</v>
      </c>
    </row>
    <row r="3" spans="2:12">
      <c r="B3" s="38" t="str">
        <f>IF(Guidance!D21="RCF", "RCF feedstock counterfactual", "Not used")</f>
        <v>Not used</v>
      </c>
      <c r="C3" s="38" t="str">
        <f>IF(Guidance!$D$21="RCF","Yes", "No")</f>
        <v>No</v>
      </c>
      <c r="D3" s="152" t="s">
        <v>172</v>
      </c>
      <c r="E3" s="60" t="s">
        <v>172</v>
      </c>
      <c r="F3" s="69" t="s">
        <v>172</v>
      </c>
      <c r="G3" s="69" t="str">
        <f>IF(Guidance!D21="RCF",'RCF counterfactual'!C17, "NA")</f>
        <v>NA</v>
      </c>
      <c r="H3" s="70" t="s">
        <v>172</v>
      </c>
      <c r="I3" s="70" t="str">
        <f>IF(Guidance!D21="RCF",I4,"NA")</f>
        <v>NA</v>
      </c>
      <c r="J3" s="61" t="str">
        <f>IF(C3="No", "", G3*I3)</f>
        <v/>
      </c>
    </row>
    <row r="4" spans="2:12">
      <c r="B4" s="38" t="s">
        <v>12</v>
      </c>
      <c r="C4" s="38"/>
      <c r="D4" s="70" t="str">
        <f>IF(C4="No", 100%, 'Feedstock collection'!P17)</f>
        <v/>
      </c>
      <c r="E4" s="60" t="e">
        <f>E5/D5</f>
        <v>#VALUE!</v>
      </c>
      <c r="F4" s="69">
        <f>IF(C4="No", 0, 'Feedstock collection'!W35)</f>
        <v>0</v>
      </c>
      <c r="G4" s="69" t="e">
        <f t="shared" ref="G4:G7" si="0">F4*E4</f>
        <v>#VALUE!</v>
      </c>
      <c r="H4" s="70" t="str">
        <f>IF(C4="No", 100%,'Feedstock collection'!S17)</f>
        <v/>
      </c>
      <c r="I4" s="70" t="e">
        <f t="shared" ref="I4:I7" si="1">I5*H4</f>
        <v>#VALUE!</v>
      </c>
      <c r="J4" s="61" t="e">
        <f>IF(C4="No", "", G4*I4)</f>
        <v>#VALUE!</v>
      </c>
    </row>
    <row r="5" spans="2:12">
      <c r="B5" s="38" t="s">
        <v>13</v>
      </c>
      <c r="C5" s="38"/>
      <c r="D5" s="70" t="str">
        <f>IF(C5="No", 100%, 'Feedstock transport'!P17)</f>
        <v/>
      </c>
      <c r="E5" s="60" t="e">
        <f t="shared" ref="E5:E7" si="2">E6/D6</f>
        <v>#VALUE!</v>
      </c>
      <c r="F5" s="69">
        <f>IF(C5="No", 0, 'Feedstock transport'!W35)</f>
        <v>0</v>
      </c>
      <c r="G5" s="69" t="e">
        <f t="shared" si="0"/>
        <v>#VALUE!</v>
      </c>
      <c r="H5" s="70" t="str">
        <f>IF(C5="No", 100%,'Feedstock transport'!S17)</f>
        <v/>
      </c>
      <c r="I5" s="70" t="e">
        <f t="shared" si="1"/>
        <v>#VALUE!</v>
      </c>
      <c r="J5" s="61" t="e">
        <f t="shared" ref="J5:J14" si="3">IF(C5="No", "", G5*I5)</f>
        <v>#VALUE!</v>
      </c>
    </row>
    <row r="6" spans="2:12">
      <c r="B6" s="38" t="s">
        <v>14</v>
      </c>
      <c r="C6" s="38"/>
      <c r="D6" s="70" t="str">
        <f>IF(C6="No", 100%, 'Pre-processing'!P17)</f>
        <v/>
      </c>
      <c r="E6" s="60" t="e">
        <f t="shared" si="2"/>
        <v>#VALUE!</v>
      </c>
      <c r="F6" s="69">
        <f>IF(C6="No", 0, 'Pre-processing'!W40)</f>
        <v>0</v>
      </c>
      <c r="G6" s="69" t="e">
        <f t="shared" si="0"/>
        <v>#VALUE!</v>
      </c>
      <c r="H6" s="70" t="str">
        <f>IF(C6="No", 100%,'Pre-processing'!S17)</f>
        <v/>
      </c>
      <c r="I6" s="70" t="e">
        <f t="shared" si="1"/>
        <v>#VALUE!</v>
      </c>
      <c r="J6" s="61" t="e">
        <f t="shared" si="3"/>
        <v>#VALUE!</v>
      </c>
    </row>
    <row r="7" spans="2:12">
      <c r="B7" s="38" t="s">
        <v>15</v>
      </c>
      <c r="C7" s="38"/>
      <c r="D7" s="70" t="str">
        <f>IF(C7="No", 100%, 'Intermediate transport'!P17)</f>
        <v/>
      </c>
      <c r="E7" s="60" t="e">
        <f t="shared" si="2"/>
        <v>#VALUE!</v>
      </c>
      <c r="F7" s="69">
        <f>IF(C7="No", 0, 'Intermediate transport'!W35)</f>
        <v>0</v>
      </c>
      <c r="G7" s="69" t="e">
        <f t="shared" si="0"/>
        <v>#VALUE!</v>
      </c>
      <c r="H7" s="70" t="str">
        <f>IF(C7="No", 100%,'Intermediate transport'!S17)</f>
        <v/>
      </c>
      <c r="I7" s="70" t="e">
        <f t="shared" si="1"/>
        <v>#VALUE!</v>
      </c>
      <c r="J7" s="61" t="e">
        <f t="shared" si="3"/>
        <v>#VALUE!</v>
      </c>
    </row>
    <row r="8" spans="2:12">
      <c r="B8" s="38" t="s">
        <v>16</v>
      </c>
      <c r="C8" s="38" t="s">
        <v>169</v>
      </c>
      <c r="D8" s="70" t="str">
        <f>IF(C8="No", 100%, Conversion!P17)</f>
        <v/>
      </c>
      <c r="E8" s="60" t="e">
        <f t="shared" ref="E8:E13" si="4">E9/D9</f>
        <v>#VALUE!</v>
      </c>
      <c r="F8" s="69">
        <f>IF(C8="No", 0, Conversion!W40)</f>
        <v>0</v>
      </c>
      <c r="G8" s="69" t="e">
        <f>F8*E8</f>
        <v>#VALUE!</v>
      </c>
      <c r="H8" s="70" t="str">
        <f>IF(C8="No", 100%,Conversion!S17)</f>
        <v/>
      </c>
      <c r="I8" s="70" t="e">
        <f t="shared" ref="I8:I13" si="5">I9*H8</f>
        <v>#VALUE!</v>
      </c>
      <c r="J8" s="61" t="e">
        <f t="shared" si="3"/>
        <v>#VALUE!</v>
      </c>
    </row>
    <row r="9" spans="2:12">
      <c r="B9" s="38" t="s">
        <v>17</v>
      </c>
      <c r="C9" s="38"/>
      <c r="D9" s="70" t="str">
        <f>IF(C9="No", 100%, 'Further transport'!P17)</f>
        <v/>
      </c>
      <c r="E9" s="60" t="e">
        <f t="shared" si="4"/>
        <v>#VALUE!</v>
      </c>
      <c r="F9" s="69">
        <f>IF(C9="No", 0, 'Further transport'!W35)</f>
        <v>0</v>
      </c>
      <c r="G9" s="69" t="e">
        <f t="shared" ref="G9:G14" si="6">F9*E9</f>
        <v>#VALUE!</v>
      </c>
      <c r="H9" s="70" t="str">
        <f>IF(C9="No", 100%,'Further transport'!S17)</f>
        <v/>
      </c>
      <c r="I9" s="70" t="e">
        <f t="shared" si="5"/>
        <v>#VALUE!</v>
      </c>
      <c r="J9" s="61" t="e">
        <f t="shared" si="3"/>
        <v>#VALUE!</v>
      </c>
    </row>
    <row r="10" spans="2:12">
      <c r="B10" s="38" t="s">
        <v>309</v>
      </c>
      <c r="C10" s="38"/>
      <c r="D10" s="70" t="str">
        <f>IF(C10="No", 100%, 'Upgrading to fuel'!P17)</f>
        <v/>
      </c>
      <c r="E10" s="60" t="e">
        <f t="shared" si="4"/>
        <v>#VALUE!</v>
      </c>
      <c r="F10" s="69">
        <f>IF(C10="No", 0, 'Upgrading to fuel'!W40)</f>
        <v>0</v>
      </c>
      <c r="G10" s="69" t="e">
        <f t="shared" si="6"/>
        <v>#VALUE!</v>
      </c>
      <c r="H10" s="70" t="str">
        <f>IF(C10="No", 100%,'Upgrading to fuel'!S17)</f>
        <v/>
      </c>
      <c r="I10" s="70" t="e">
        <f t="shared" si="5"/>
        <v>#VALUE!</v>
      </c>
      <c r="J10" s="61" t="e">
        <f t="shared" si="3"/>
        <v>#VALUE!</v>
      </c>
    </row>
    <row r="11" spans="2:12">
      <c r="B11" s="38" t="s">
        <v>18</v>
      </c>
      <c r="C11" s="38"/>
      <c r="D11" s="70" t="str">
        <f>IF(C11="No", 100%, 'Fuel distribution 1'!P17)</f>
        <v/>
      </c>
      <c r="E11" s="60" t="e">
        <f t="shared" si="4"/>
        <v>#VALUE!</v>
      </c>
      <c r="F11" s="69">
        <f>IF(C11="No", 0, 'Fuel distribution 1'!W35)</f>
        <v>0</v>
      </c>
      <c r="G11" s="69" t="e">
        <f t="shared" si="6"/>
        <v>#VALUE!</v>
      </c>
      <c r="H11" s="70" t="str">
        <f>IF(C11="No", 100%,'Fuel distribution 1'!S17)</f>
        <v/>
      </c>
      <c r="I11" s="70" t="e">
        <f t="shared" si="5"/>
        <v>#VALUE!</v>
      </c>
      <c r="J11" s="61" t="e">
        <f t="shared" si="3"/>
        <v>#VALUE!</v>
      </c>
    </row>
    <row r="12" spans="2:12">
      <c r="B12" s="38" t="s">
        <v>19</v>
      </c>
      <c r="C12" s="38"/>
      <c r="D12" s="70" t="str">
        <f>IF(C12="No", 100%, 'Fuel storage'!P17)</f>
        <v/>
      </c>
      <c r="E12" s="60" t="e">
        <f t="shared" si="4"/>
        <v>#VALUE!</v>
      </c>
      <c r="F12" s="69">
        <f>IF(C12="No", 0, 'Fuel storage'!W35)</f>
        <v>0</v>
      </c>
      <c r="G12" s="69" t="e">
        <f t="shared" si="6"/>
        <v>#VALUE!</v>
      </c>
      <c r="H12" s="70" t="str">
        <f>IF(C12="No", 100%,'Fuel storage'!S17)</f>
        <v/>
      </c>
      <c r="I12" s="70" t="e">
        <f t="shared" si="5"/>
        <v>#VALUE!</v>
      </c>
      <c r="J12" s="61" t="e">
        <f t="shared" si="3"/>
        <v>#VALUE!</v>
      </c>
    </row>
    <row r="13" spans="2:12">
      <c r="B13" s="38" t="s">
        <v>20</v>
      </c>
      <c r="C13" s="38"/>
      <c r="D13" s="70" t="str">
        <f>IF(C13="No", 100%, 'Fuel distribution 2'!P17)</f>
        <v/>
      </c>
      <c r="E13" s="60" t="e">
        <f t="shared" si="4"/>
        <v>#VALUE!</v>
      </c>
      <c r="F13" s="69">
        <f>IF(C13="No", 0, 'Fuel distribution 2'!W35)</f>
        <v>0</v>
      </c>
      <c r="G13" s="69" t="e">
        <f t="shared" si="6"/>
        <v>#VALUE!</v>
      </c>
      <c r="H13" s="70" t="str">
        <f>IF(C13="No", 100%,'Fuel distribution 2'!S17)</f>
        <v/>
      </c>
      <c r="I13" s="70" t="e">
        <f t="shared" si="5"/>
        <v>#VALUE!</v>
      </c>
      <c r="J13" s="61" t="e">
        <f t="shared" si="3"/>
        <v>#VALUE!</v>
      </c>
    </row>
    <row r="14" spans="2:12" ht="15.75" thickBot="1">
      <c r="B14" s="48" t="s">
        <v>204</v>
      </c>
      <c r="C14" s="48" t="s">
        <v>169</v>
      </c>
      <c r="D14" s="70" t="str">
        <f>IF(C14="No", 100%, Refuelling!P17)</f>
        <v/>
      </c>
      <c r="E14" s="60">
        <v>1</v>
      </c>
      <c r="F14" s="69">
        <f>IF(C14="No", 0, Refuelling!W35)</f>
        <v>0</v>
      </c>
      <c r="G14" s="69">
        <f t="shared" si="6"/>
        <v>0</v>
      </c>
      <c r="H14" s="70" t="str">
        <f>IF(C14="No", 100%,Refuelling!S17)</f>
        <v/>
      </c>
      <c r="I14" s="70" t="str">
        <f>H14</f>
        <v/>
      </c>
      <c r="J14" s="61" t="e">
        <f t="shared" si="3"/>
        <v>#VALUE!</v>
      </c>
    </row>
    <row r="15" spans="2:12" ht="15.75" thickBot="1">
      <c r="B15" s="68" t="s">
        <v>158</v>
      </c>
      <c r="D15" s="28">
        <f>PRODUCT(D4:D14)</f>
        <v>0</v>
      </c>
      <c r="E15" s="24"/>
      <c r="F15" s="24"/>
      <c r="G15" s="24"/>
      <c r="J15" s="74" t="e">
        <f>SUM(J3:J14)</f>
        <v>#VALUE!</v>
      </c>
    </row>
    <row r="16" spans="2:12" ht="18">
      <c r="B16" s="68" t="s">
        <v>206</v>
      </c>
      <c r="C16" s="151"/>
      <c r="J16" s="73">
        <f>IF(Guidance!D21&lt;&gt;"RCF", 31, INDEX(Assumptions!$F$8:$T$8, 1, MATCH(Guidance!$D$18, Assumptions!$F$4:$T$4, FALSE)))</f>
        <v>31</v>
      </c>
      <c r="L16" t="s">
        <v>232</v>
      </c>
    </row>
    <row r="18" spans="2:2">
      <c r="B18" t="s">
        <v>282</v>
      </c>
    </row>
  </sheetData>
  <conditionalFormatting sqref="J16">
    <cfRule type="expression" dxfId="0" priority="1">
      <formula>$J$15&gt;$J$16</formula>
    </cfRule>
  </conditionalFormatting>
  <dataValidations count="1">
    <dataValidation type="list" allowBlank="1" showInputMessage="1" showErrorMessage="1" sqref="C4:C14" xr:uid="{DF28A3BA-9BB5-43DD-8C99-E8178B964A9C}">
      <formula1>"Yes, No"</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B2:S33"/>
  <sheetViews>
    <sheetView showGridLines="0" zoomScale="85" zoomScaleNormal="85" workbookViewId="0"/>
  </sheetViews>
  <sheetFormatPr defaultColWidth="9.28515625" defaultRowHeight="15"/>
  <cols>
    <col min="1" max="1" width="6.7109375" style="1" customWidth="1"/>
    <col min="2" max="16384" width="9.28515625" style="1"/>
  </cols>
  <sheetData>
    <row r="2" spans="2:19">
      <c r="B2" s="137" t="s">
        <v>203</v>
      </c>
    </row>
    <row r="4" spans="2:19">
      <c r="B4" s="71"/>
      <c r="C4" s="71"/>
      <c r="D4" s="71"/>
      <c r="E4" s="71"/>
      <c r="F4" s="71"/>
      <c r="G4" s="71"/>
      <c r="H4" s="71"/>
      <c r="I4" s="71"/>
      <c r="J4" s="71"/>
      <c r="K4" s="71"/>
      <c r="L4" s="71"/>
      <c r="M4" s="71"/>
      <c r="N4" s="71"/>
      <c r="O4" s="71"/>
      <c r="P4" s="71"/>
      <c r="Q4" s="71"/>
      <c r="R4" s="71"/>
      <c r="S4" s="71"/>
    </row>
    <row r="5" spans="2:19">
      <c r="B5" s="71"/>
      <c r="C5" s="71"/>
      <c r="D5" s="71"/>
      <c r="E5" s="71"/>
      <c r="F5" s="71"/>
      <c r="G5" s="71"/>
      <c r="H5" s="71"/>
      <c r="I5" s="71"/>
      <c r="J5" s="71"/>
      <c r="K5" s="71"/>
      <c r="L5" s="71"/>
      <c r="M5" s="71"/>
      <c r="N5" s="71"/>
      <c r="O5" s="71"/>
      <c r="P5" s="71"/>
      <c r="Q5" s="71"/>
      <c r="R5" s="71"/>
      <c r="S5" s="71"/>
    </row>
    <row r="6" spans="2:19">
      <c r="B6" s="71"/>
      <c r="C6" s="71"/>
      <c r="D6" s="71"/>
      <c r="E6" s="71"/>
      <c r="F6" s="71"/>
      <c r="G6" s="71"/>
      <c r="H6" s="71"/>
      <c r="I6" s="71"/>
      <c r="J6" s="71"/>
      <c r="K6" s="71"/>
      <c r="L6" s="71"/>
      <c r="M6" s="71"/>
      <c r="N6" s="71"/>
      <c r="O6" s="71"/>
      <c r="P6" s="71"/>
      <c r="Q6" s="71"/>
      <c r="R6" s="71"/>
      <c r="S6" s="71"/>
    </row>
    <row r="7" spans="2:19">
      <c r="B7" s="71"/>
      <c r="C7" s="71"/>
      <c r="D7" s="71"/>
      <c r="E7" s="71"/>
      <c r="F7" s="71"/>
      <c r="G7" s="71"/>
      <c r="H7" s="71"/>
      <c r="I7" s="71"/>
      <c r="J7" s="71"/>
      <c r="K7" s="71"/>
      <c r="L7" s="71"/>
      <c r="M7" s="71"/>
      <c r="N7" s="71"/>
      <c r="O7" s="71"/>
      <c r="P7" s="71"/>
      <c r="Q7" s="71"/>
      <c r="R7" s="71"/>
      <c r="S7" s="71"/>
    </row>
    <row r="8" spans="2:19">
      <c r="B8" s="71"/>
      <c r="C8" s="71"/>
      <c r="D8" s="71"/>
      <c r="E8" s="71"/>
      <c r="F8" s="71"/>
      <c r="G8" s="71"/>
      <c r="H8" s="71"/>
      <c r="I8" s="71"/>
      <c r="J8" s="71"/>
      <c r="K8" s="71"/>
      <c r="L8" s="71"/>
      <c r="M8" s="71"/>
      <c r="N8" s="71"/>
      <c r="O8" s="71"/>
      <c r="P8" s="71"/>
      <c r="Q8" s="71"/>
      <c r="R8" s="71"/>
      <c r="S8" s="71"/>
    </row>
    <row r="9" spans="2:19">
      <c r="B9" s="71"/>
      <c r="C9" s="71"/>
      <c r="D9" s="71"/>
      <c r="E9" s="71"/>
      <c r="F9" s="71"/>
      <c r="G9" s="71"/>
      <c r="H9" s="71"/>
      <c r="I9" s="71"/>
      <c r="J9" s="71"/>
      <c r="K9" s="71"/>
      <c r="L9" s="71"/>
      <c r="M9" s="71"/>
      <c r="N9" s="71"/>
      <c r="O9" s="71"/>
      <c r="P9" s="71"/>
      <c r="Q9" s="71"/>
      <c r="R9" s="71"/>
      <c r="S9" s="71"/>
    </row>
    <row r="10" spans="2:19">
      <c r="B10" s="71"/>
      <c r="C10" s="71"/>
      <c r="D10" s="71"/>
      <c r="E10" s="71"/>
      <c r="F10" s="71"/>
      <c r="G10" s="71"/>
      <c r="H10" s="71"/>
      <c r="I10" s="71"/>
      <c r="J10" s="71"/>
      <c r="K10" s="71"/>
      <c r="L10" s="71"/>
      <c r="M10" s="71"/>
      <c r="N10" s="71"/>
      <c r="O10" s="71"/>
      <c r="P10" s="71"/>
      <c r="Q10" s="71"/>
      <c r="R10" s="71"/>
      <c r="S10" s="71"/>
    </row>
    <row r="11" spans="2:19">
      <c r="B11" s="71"/>
      <c r="C11" s="71"/>
      <c r="D11" s="71"/>
      <c r="E11" s="71"/>
      <c r="F11" s="71"/>
      <c r="G11" s="71"/>
      <c r="H11" s="71"/>
      <c r="I11" s="71"/>
      <c r="J11" s="71"/>
      <c r="K11" s="71"/>
      <c r="L11" s="71"/>
      <c r="M11" s="71"/>
      <c r="N11" s="71"/>
      <c r="O11" s="71"/>
      <c r="P11" s="71"/>
      <c r="Q11" s="71"/>
      <c r="R11" s="71"/>
      <c r="S11" s="71"/>
    </row>
    <row r="12" spans="2:19">
      <c r="B12" s="71"/>
      <c r="C12" s="71"/>
      <c r="D12" s="71"/>
      <c r="E12" s="71"/>
      <c r="F12" s="71"/>
      <c r="G12" s="71"/>
      <c r="H12" s="71"/>
      <c r="I12" s="71"/>
      <c r="J12" s="71"/>
      <c r="K12" s="71"/>
      <c r="L12" s="71"/>
      <c r="M12" s="71"/>
      <c r="N12" s="71"/>
      <c r="O12" s="71"/>
      <c r="P12" s="71"/>
      <c r="Q12" s="71"/>
      <c r="R12" s="71"/>
      <c r="S12" s="71"/>
    </row>
    <row r="13" spans="2:19">
      <c r="B13" s="71"/>
      <c r="C13" s="71"/>
      <c r="D13" s="71"/>
      <c r="E13" s="71"/>
      <c r="F13" s="71"/>
      <c r="G13" s="71"/>
      <c r="H13" s="71"/>
      <c r="I13" s="71"/>
      <c r="J13" s="71"/>
      <c r="K13" s="71"/>
      <c r="L13" s="71"/>
      <c r="M13" s="71"/>
      <c r="N13" s="71"/>
      <c r="O13" s="71"/>
      <c r="P13" s="71"/>
      <c r="Q13" s="71"/>
      <c r="R13" s="71"/>
      <c r="S13" s="71"/>
    </row>
    <row r="14" spans="2:19">
      <c r="B14" s="71"/>
      <c r="C14" s="71"/>
      <c r="D14" s="71"/>
      <c r="E14" s="71"/>
      <c r="F14" s="71"/>
      <c r="G14" s="71"/>
      <c r="H14" s="71"/>
      <c r="I14" s="71"/>
      <c r="J14" s="71"/>
      <c r="K14" s="71"/>
      <c r="L14" s="71"/>
      <c r="M14" s="71"/>
      <c r="N14" s="71"/>
      <c r="O14" s="71"/>
      <c r="P14" s="71"/>
      <c r="Q14" s="71"/>
      <c r="R14" s="71"/>
      <c r="S14" s="71"/>
    </row>
    <row r="15" spans="2:19">
      <c r="B15" s="71"/>
      <c r="C15" s="71"/>
      <c r="D15" s="71"/>
      <c r="E15" s="71"/>
      <c r="F15" s="71"/>
      <c r="G15" s="71"/>
      <c r="H15" s="71"/>
      <c r="I15" s="71"/>
      <c r="J15" s="71"/>
      <c r="K15" s="71"/>
      <c r="L15" s="71"/>
      <c r="M15" s="71"/>
      <c r="N15" s="71"/>
      <c r="O15" s="71"/>
      <c r="P15" s="71"/>
      <c r="Q15" s="71"/>
      <c r="R15" s="71"/>
      <c r="S15" s="71"/>
    </row>
    <row r="16" spans="2:19">
      <c r="B16" s="71"/>
      <c r="C16" s="71"/>
      <c r="D16" s="71"/>
      <c r="E16" s="71"/>
      <c r="F16" s="71"/>
      <c r="G16" s="71"/>
      <c r="H16" s="71"/>
      <c r="I16" s="71"/>
      <c r="J16" s="71"/>
      <c r="K16" s="71"/>
      <c r="L16" s="71"/>
      <c r="M16" s="71"/>
      <c r="N16" s="71"/>
      <c r="O16" s="71"/>
      <c r="P16" s="71"/>
      <c r="Q16" s="71"/>
      <c r="R16" s="71"/>
      <c r="S16" s="71"/>
    </row>
    <row r="17" spans="2:19">
      <c r="B17" s="71"/>
      <c r="C17" s="71"/>
      <c r="D17" s="71"/>
      <c r="E17" s="71"/>
      <c r="F17" s="71"/>
      <c r="G17" s="71"/>
      <c r="H17" s="71"/>
      <c r="I17" s="71"/>
      <c r="J17" s="71"/>
      <c r="K17" s="71"/>
      <c r="L17" s="71"/>
      <c r="M17" s="71"/>
      <c r="N17" s="71"/>
      <c r="O17" s="71"/>
      <c r="P17" s="71"/>
      <c r="Q17" s="71"/>
      <c r="R17" s="71"/>
      <c r="S17" s="71"/>
    </row>
    <row r="18" spans="2:19">
      <c r="B18" s="71"/>
      <c r="C18" s="71"/>
      <c r="D18" s="71"/>
      <c r="E18" s="71"/>
      <c r="F18" s="71"/>
      <c r="G18" s="71"/>
      <c r="H18" s="71"/>
      <c r="I18" s="71"/>
      <c r="J18" s="71"/>
      <c r="K18" s="71"/>
      <c r="L18" s="71"/>
      <c r="M18" s="71"/>
      <c r="N18" s="71"/>
      <c r="O18" s="71"/>
      <c r="P18" s="71"/>
      <c r="Q18" s="71"/>
      <c r="R18" s="71"/>
      <c r="S18" s="71"/>
    </row>
    <row r="19" spans="2:19">
      <c r="B19" s="71"/>
      <c r="C19" s="71"/>
      <c r="D19" s="71"/>
      <c r="E19" s="71"/>
      <c r="F19" s="71"/>
      <c r="G19" s="71"/>
      <c r="H19" s="71"/>
      <c r="I19" s="71"/>
      <c r="J19" s="71"/>
      <c r="K19" s="71"/>
      <c r="L19" s="71"/>
      <c r="M19" s="71"/>
      <c r="N19" s="71"/>
      <c r="O19" s="71"/>
      <c r="P19" s="71"/>
      <c r="Q19" s="71"/>
      <c r="R19" s="71"/>
      <c r="S19" s="71"/>
    </row>
    <row r="20" spans="2:19">
      <c r="B20" s="71"/>
      <c r="C20" s="71"/>
      <c r="D20" s="71"/>
      <c r="E20" s="71"/>
      <c r="F20" s="71"/>
      <c r="G20" s="71"/>
      <c r="H20" s="71"/>
      <c r="I20" s="71"/>
      <c r="J20" s="71"/>
      <c r="K20" s="71"/>
      <c r="L20" s="71"/>
      <c r="M20" s="71"/>
      <c r="N20" s="71"/>
      <c r="O20" s="71"/>
      <c r="P20" s="71"/>
      <c r="Q20" s="71"/>
      <c r="R20" s="71"/>
      <c r="S20" s="71"/>
    </row>
    <row r="21" spans="2:19">
      <c r="B21" s="71"/>
      <c r="C21" s="71"/>
      <c r="D21" s="71"/>
      <c r="E21" s="71"/>
      <c r="F21" s="71"/>
      <c r="G21" s="71"/>
      <c r="H21" s="71"/>
      <c r="I21" s="71"/>
      <c r="J21" s="71"/>
      <c r="K21" s="71"/>
      <c r="L21" s="71"/>
      <c r="M21" s="71"/>
      <c r="N21" s="71"/>
      <c r="O21" s="71"/>
      <c r="P21" s="71"/>
      <c r="Q21" s="71"/>
      <c r="R21" s="71"/>
      <c r="S21" s="71"/>
    </row>
    <row r="22" spans="2:19">
      <c r="B22" s="71"/>
      <c r="C22" s="71"/>
      <c r="D22" s="71"/>
      <c r="E22" s="71"/>
      <c r="F22" s="71"/>
      <c r="G22" s="71"/>
      <c r="H22" s="71"/>
      <c r="I22" s="71"/>
      <c r="J22" s="71"/>
      <c r="K22" s="71"/>
      <c r="L22" s="71"/>
      <c r="M22" s="71"/>
      <c r="N22" s="71"/>
      <c r="O22" s="71"/>
      <c r="P22" s="71"/>
      <c r="Q22" s="71"/>
      <c r="R22" s="71"/>
      <c r="S22" s="71"/>
    </row>
    <row r="23" spans="2:19">
      <c r="B23" s="71"/>
      <c r="C23" s="71"/>
      <c r="D23" s="71"/>
      <c r="E23" s="71"/>
      <c r="F23" s="71"/>
      <c r="G23" s="71"/>
      <c r="H23" s="71"/>
      <c r="I23" s="71"/>
      <c r="J23" s="71"/>
      <c r="K23" s="71"/>
      <c r="L23" s="71"/>
      <c r="M23" s="71"/>
      <c r="N23" s="71"/>
      <c r="O23" s="71"/>
      <c r="P23" s="71"/>
      <c r="Q23" s="71"/>
      <c r="R23" s="71"/>
      <c r="S23" s="71"/>
    </row>
    <row r="24" spans="2:19">
      <c r="B24" s="71"/>
      <c r="C24" s="71"/>
      <c r="D24" s="71"/>
      <c r="E24" s="71"/>
      <c r="F24" s="71"/>
      <c r="G24" s="71"/>
      <c r="H24" s="71"/>
      <c r="I24" s="71"/>
      <c r="J24" s="71"/>
      <c r="K24" s="71"/>
      <c r="L24" s="71"/>
      <c r="M24" s="71"/>
      <c r="N24" s="71"/>
      <c r="O24" s="71"/>
      <c r="P24" s="71"/>
      <c r="Q24" s="71"/>
      <c r="R24" s="71"/>
      <c r="S24" s="71"/>
    </row>
    <row r="25" spans="2:19">
      <c r="B25" s="71"/>
      <c r="C25" s="71"/>
      <c r="D25" s="71"/>
      <c r="E25" s="71"/>
      <c r="F25" s="71"/>
      <c r="G25" s="71"/>
      <c r="H25" s="71"/>
      <c r="I25" s="71"/>
      <c r="J25" s="71"/>
      <c r="K25" s="71"/>
      <c r="L25" s="71"/>
      <c r="M25" s="71"/>
      <c r="N25" s="71"/>
      <c r="O25" s="71"/>
      <c r="P25" s="71"/>
      <c r="Q25" s="71"/>
      <c r="R25" s="71"/>
      <c r="S25" s="71"/>
    </row>
    <row r="26" spans="2:19">
      <c r="B26" s="71"/>
      <c r="C26" s="71"/>
      <c r="D26" s="71"/>
      <c r="E26" s="71"/>
      <c r="F26" s="71"/>
      <c r="G26" s="71"/>
      <c r="H26" s="71"/>
      <c r="I26" s="71"/>
      <c r="J26" s="71"/>
      <c r="K26" s="71"/>
      <c r="L26" s="71"/>
      <c r="M26" s="71"/>
      <c r="N26" s="71"/>
      <c r="O26" s="71"/>
      <c r="P26" s="71"/>
      <c r="Q26" s="71"/>
      <c r="R26" s="71"/>
      <c r="S26" s="71"/>
    </row>
    <row r="27" spans="2:19">
      <c r="B27" s="71"/>
      <c r="C27" s="71"/>
      <c r="D27" s="71"/>
      <c r="E27" s="71"/>
      <c r="F27" s="71"/>
      <c r="G27" s="71"/>
      <c r="H27" s="71"/>
      <c r="I27" s="71"/>
      <c r="J27" s="71"/>
      <c r="K27" s="71"/>
      <c r="L27" s="71"/>
      <c r="M27" s="71"/>
      <c r="N27" s="71"/>
      <c r="O27" s="71"/>
      <c r="P27" s="71"/>
      <c r="Q27" s="71"/>
      <c r="R27" s="71"/>
      <c r="S27" s="71"/>
    </row>
    <row r="28" spans="2:19">
      <c r="B28" s="71"/>
      <c r="C28" s="71"/>
      <c r="D28" s="71"/>
      <c r="E28" s="71"/>
      <c r="F28" s="71"/>
      <c r="G28" s="71"/>
      <c r="H28" s="71"/>
      <c r="I28" s="71"/>
      <c r="J28" s="71"/>
      <c r="K28" s="71"/>
      <c r="L28" s="71"/>
      <c r="M28" s="71"/>
      <c r="N28" s="71"/>
      <c r="O28" s="71"/>
      <c r="P28" s="71"/>
      <c r="Q28" s="71"/>
      <c r="R28" s="71"/>
      <c r="S28" s="71"/>
    </row>
    <row r="29" spans="2:19">
      <c r="B29" s="71"/>
      <c r="C29" s="71"/>
      <c r="D29" s="71"/>
      <c r="E29" s="71"/>
      <c r="F29" s="71"/>
      <c r="G29" s="71"/>
      <c r="H29" s="71"/>
      <c r="I29" s="71"/>
      <c r="J29" s="71"/>
      <c r="K29" s="71"/>
      <c r="L29" s="71"/>
      <c r="M29" s="71"/>
      <c r="N29" s="71"/>
      <c r="O29" s="71"/>
      <c r="P29" s="71"/>
      <c r="Q29" s="71"/>
      <c r="R29" s="71"/>
      <c r="S29" s="71"/>
    </row>
    <row r="30" spans="2:19">
      <c r="B30" s="71"/>
      <c r="C30" s="71"/>
      <c r="D30" s="71"/>
      <c r="E30" s="71"/>
      <c r="F30" s="71"/>
      <c r="G30" s="71"/>
      <c r="H30" s="71"/>
      <c r="I30" s="71"/>
      <c r="J30" s="71"/>
      <c r="K30" s="71"/>
      <c r="L30" s="71"/>
      <c r="M30" s="71"/>
      <c r="N30" s="71"/>
      <c r="O30" s="71"/>
      <c r="P30" s="71"/>
      <c r="Q30" s="71"/>
      <c r="R30" s="71"/>
      <c r="S30" s="71"/>
    </row>
    <row r="31" spans="2:19">
      <c r="B31" s="71"/>
      <c r="C31" s="71"/>
      <c r="D31" s="71"/>
      <c r="E31" s="71"/>
      <c r="F31" s="71"/>
      <c r="G31" s="71"/>
      <c r="H31" s="71"/>
      <c r="I31" s="71"/>
      <c r="J31" s="71"/>
      <c r="K31" s="71"/>
      <c r="L31" s="71"/>
      <c r="M31" s="71"/>
      <c r="N31" s="71"/>
      <c r="O31" s="71"/>
      <c r="P31" s="71"/>
      <c r="Q31" s="71"/>
      <c r="R31" s="71"/>
      <c r="S31" s="71"/>
    </row>
    <row r="32" spans="2:19">
      <c r="B32" s="71"/>
      <c r="C32" s="71"/>
      <c r="D32" s="71"/>
      <c r="E32" s="71"/>
      <c r="F32" s="71"/>
      <c r="G32" s="71"/>
      <c r="H32" s="71"/>
      <c r="I32" s="71"/>
      <c r="J32" s="71"/>
      <c r="K32" s="71"/>
      <c r="L32" s="71"/>
      <c r="M32" s="71"/>
      <c r="N32" s="71"/>
      <c r="O32" s="71"/>
      <c r="P32" s="71"/>
      <c r="Q32" s="71"/>
      <c r="R32" s="71"/>
      <c r="S32" s="71"/>
    </row>
    <row r="33" spans="2:19">
      <c r="B33" s="71"/>
      <c r="C33" s="71"/>
      <c r="D33" s="71"/>
      <c r="E33" s="71"/>
      <c r="F33" s="71"/>
      <c r="G33" s="71"/>
      <c r="H33" s="71"/>
      <c r="I33" s="71"/>
      <c r="J33" s="71"/>
      <c r="K33" s="71"/>
      <c r="L33" s="71"/>
      <c r="M33" s="71"/>
      <c r="N33" s="71"/>
      <c r="O33" s="71"/>
      <c r="P33" s="71"/>
      <c r="Q33" s="71"/>
      <c r="R33" s="71"/>
      <c r="S33" s="7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8154A-FBD2-452C-B907-19D8DCEAC52E}">
  <sheetPr>
    <tabColor theme="9" tint="0.79998168889431442"/>
  </sheetPr>
  <dimension ref="B2:B36"/>
  <sheetViews>
    <sheetView showGridLines="0" zoomScale="85" zoomScaleNormal="85" workbookViewId="0"/>
  </sheetViews>
  <sheetFormatPr defaultRowHeight="15"/>
  <cols>
    <col min="1" max="1" width="6.7109375" customWidth="1"/>
    <col min="2" max="2" width="39.140625" customWidth="1"/>
  </cols>
  <sheetData>
    <row r="2" spans="2:2">
      <c r="B2" s="24" t="s">
        <v>220</v>
      </c>
    </row>
    <row r="3" spans="2:2">
      <c r="B3" s="124"/>
    </row>
    <row r="4" spans="2:2">
      <c r="B4" s="124"/>
    </row>
    <row r="6" spans="2:2">
      <c r="B6" s="24" t="s">
        <v>221</v>
      </c>
    </row>
    <row r="7" spans="2:2">
      <c r="B7" s="125"/>
    </row>
    <row r="8" spans="2:2">
      <c r="B8" s="125"/>
    </row>
    <row r="9" spans="2:2">
      <c r="B9" s="24"/>
    </row>
    <row r="10" spans="2:2">
      <c r="B10" s="24" t="s">
        <v>219</v>
      </c>
    </row>
    <row r="11" spans="2:2">
      <c r="B11" s="124"/>
    </row>
    <row r="12" spans="2:2">
      <c r="B12" s="124"/>
    </row>
    <row r="14" spans="2:2">
      <c r="B14" s="24" t="s">
        <v>222</v>
      </c>
    </row>
    <row r="15" spans="2:2">
      <c r="B15" s="124"/>
    </row>
    <row r="16" spans="2:2">
      <c r="B16" s="124"/>
    </row>
    <row r="18" spans="2:2">
      <c r="B18" s="24" t="s">
        <v>303</v>
      </c>
    </row>
    <row r="19" spans="2:2">
      <c r="B19" s="124"/>
    </row>
    <row r="20" spans="2:2">
      <c r="B20" s="124"/>
    </row>
    <row r="22" spans="2:2">
      <c r="B22" s="24" t="s">
        <v>304</v>
      </c>
    </row>
    <row r="23" spans="2:2">
      <c r="B23" s="124"/>
    </row>
    <row r="24" spans="2:2">
      <c r="B24" s="124"/>
    </row>
    <row r="26" spans="2:2">
      <c r="B26" s="24" t="s">
        <v>325</v>
      </c>
    </row>
    <row r="27" spans="2:2">
      <c r="B27" s="124"/>
    </row>
    <row r="28" spans="2:2">
      <c r="B28" s="124"/>
    </row>
    <row r="30" spans="2:2">
      <c r="B30" s="24" t="s">
        <v>324</v>
      </c>
    </row>
    <row r="31" spans="2:2">
      <c r="B31" s="124"/>
    </row>
    <row r="32" spans="2:2">
      <c r="B32" s="124"/>
    </row>
    <row r="34" spans="2:2">
      <c r="B34" s="24" t="s">
        <v>208</v>
      </c>
    </row>
    <row r="35" spans="2:2">
      <c r="B35" s="124"/>
    </row>
    <row r="36" spans="2:2">
      <c r="B36" s="12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7D198-B341-4270-B536-C8E0BD89AFBF}">
  <sheetPr>
    <tabColor theme="9" tint="0.79998168889431442"/>
  </sheetPr>
  <dimension ref="B2:D33"/>
  <sheetViews>
    <sheetView showGridLines="0" zoomScale="85" zoomScaleNormal="85" workbookViewId="0"/>
  </sheetViews>
  <sheetFormatPr defaultColWidth="8.7109375" defaultRowHeight="15"/>
  <cols>
    <col min="1" max="1" width="6.7109375" customWidth="1"/>
    <col min="2" max="2" width="31.28515625" customWidth="1"/>
    <col min="3" max="10" width="21.28515625" customWidth="1"/>
  </cols>
  <sheetData>
    <row r="2" spans="2:2">
      <c r="B2" s="24" t="s">
        <v>230</v>
      </c>
    </row>
    <row r="3" spans="2:2">
      <c r="B3" t="s">
        <v>231</v>
      </c>
    </row>
    <row r="4" spans="2:2">
      <c r="B4" t="s">
        <v>326</v>
      </c>
    </row>
    <row r="6" spans="2:2">
      <c r="B6" t="s">
        <v>327</v>
      </c>
    </row>
    <row r="7" spans="2:2">
      <c r="B7" s="58" t="s">
        <v>297</v>
      </c>
    </row>
    <row r="8" spans="2:2">
      <c r="B8" s="58" t="s">
        <v>328</v>
      </c>
    </row>
    <row r="9" spans="2:2">
      <c r="B9" s="58"/>
    </row>
    <row r="10" spans="2:2">
      <c r="B10" s="59" t="s">
        <v>298</v>
      </c>
    </row>
    <row r="11" spans="2:2">
      <c r="B11" s="59" t="s">
        <v>299</v>
      </c>
    </row>
    <row r="12" spans="2:2">
      <c r="B12" s="58" t="s">
        <v>329</v>
      </c>
    </row>
    <row r="13" spans="2:2">
      <c r="B13" s="59" t="s">
        <v>302</v>
      </c>
    </row>
    <row r="15" spans="2:2" ht="18">
      <c r="B15" t="s">
        <v>229</v>
      </c>
    </row>
    <row r="17" spans="2:4" ht="18">
      <c r="B17" t="s">
        <v>352</v>
      </c>
      <c r="C17" s="61">
        <f>IF(Guidance!D21="RCF",(C18*C19)/C20,0)</f>
        <v>0</v>
      </c>
      <c r="D17" t="s">
        <v>227</v>
      </c>
    </row>
    <row r="18" spans="2:4" ht="18">
      <c r="B18" t="s">
        <v>353</v>
      </c>
      <c r="C18" s="62" t="str">
        <f>IF(Guidance!D21="RCF",22%, "NA")</f>
        <v>NA</v>
      </c>
      <c r="D18" t="s">
        <v>237</v>
      </c>
    </row>
    <row r="19" spans="2:4" ht="18">
      <c r="B19" t="s">
        <v>354</v>
      </c>
      <c r="C19" s="63" t="str">
        <f>IF(Guidance!D21="RCF",INDEX(Assumptions!$C$16:$AF$16, 1, MATCH(Guidance!$D$18, Assumptions!$C$15:$AF$15, FALSE)), "NA")</f>
        <v>NA</v>
      </c>
      <c r="D19" t="s">
        <v>301</v>
      </c>
    </row>
    <row r="20" spans="2:4" ht="18">
      <c r="B20" t="s">
        <v>355</v>
      </c>
      <c r="C20" s="62" t="str">
        <f>IF(Guidance!D21="RCF",Summary!D15, "NA")</f>
        <v>NA</v>
      </c>
      <c r="D20" t="s">
        <v>228</v>
      </c>
    </row>
    <row r="23" spans="2:4">
      <c r="B23" s="24" t="s">
        <v>300</v>
      </c>
    </row>
    <row r="24" spans="2:4">
      <c r="B24" s="124"/>
    </row>
    <row r="25" spans="2:4">
      <c r="B25" s="124"/>
    </row>
    <row r="27" spans="2:4">
      <c r="B27" s="24" t="s">
        <v>296</v>
      </c>
    </row>
    <row r="28" spans="2:4">
      <c r="B28" s="124"/>
    </row>
    <row r="29" spans="2:4">
      <c r="B29" s="124"/>
    </row>
    <row r="31" spans="2:4">
      <c r="B31" s="155" t="s">
        <v>295</v>
      </c>
    </row>
    <row r="32" spans="2:4">
      <c r="B32" s="124"/>
    </row>
    <row r="33" spans="2:2">
      <c r="B33" s="12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2:Z81"/>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61"/>
      <c r="L4" s="161"/>
      <c r="M4" s="161"/>
      <c r="N4" s="141"/>
      <c r="O4" s="141"/>
      <c r="P4" s="141"/>
      <c r="Q4" s="141"/>
      <c r="R4" s="141"/>
      <c r="S4" s="141"/>
      <c r="T4" s="141"/>
      <c r="U4" s="141"/>
      <c r="V4" s="141"/>
      <c r="W4" s="141"/>
      <c r="X4" s="141"/>
      <c r="Y4" s="141"/>
      <c r="Z4" s="3"/>
    </row>
    <row r="5" spans="2:26">
      <c r="B5" s="9" t="s">
        <v>168</v>
      </c>
      <c r="C5" s="144" t="s">
        <v>238</v>
      </c>
      <c r="D5" s="8" t="s">
        <v>244</v>
      </c>
      <c r="E5" s="162"/>
      <c r="F5" s="157"/>
      <c r="G5" s="157"/>
      <c r="H5" s="159"/>
      <c r="I5" s="159" t="s">
        <v>169</v>
      </c>
      <c r="J5" s="162"/>
      <c r="K5" s="159"/>
      <c r="L5" s="159"/>
      <c r="M5" s="159"/>
      <c r="N5" s="163"/>
      <c r="O5" s="37">
        <f t="shared" ref="O5:O14" si="0">IF($D5="MWh/yr (LHV)",$E5,$J5*$E5*(1-$L5)/3.6)</f>
        <v>0</v>
      </c>
      <c r="P5" s="3"/>
      <c r="T5" s="162">
        <v>0</v>
      </c>
      <c r="U5" s="159"/>
      <c r="V5" s="158" t="s">
        <v>255</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63"/>
      <c r="O6" s="37">
        <f t="shared" si="0"/>
        <v>0</v>
      </c>
      <c r="P6" s="3"/>
      <c r="T6" s="162" t="str">
        <f t="shared" ref="T6:T14" si="1">IF(B6="", "", IF(D6="MWh/yr (LHV)", "Use column to right", "Enter data here"))</f>
        <v>Use column to right</v>
      </c>
      <c r="U6" s="162" t="str">
        <f t="shared" ref="U6:U14" si="2">IF(B6="", "", IF(D6="MWh/yr (LHV)", "Enter data here", "Use column to left"))</f>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63"/>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63"/>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63"/>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63"/>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63"/>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63"/>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63"/>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63"/>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63"/>
      <c r="O15" s="160"/>
      <c r="T15" s="160"/>
      <c r="U15" s="160"/>
      <c r="V15" s="160"/>
      <c r="W15" s="146"/>
      <c r="Y15" s="18"/>
      <c r="Z15" s="3"/>
    </row>
    <row r="16" spans="2:26">
      <c r="B16" s="142" t="s">
        <v>174</v>
      </c>
      <c r="C16" s="138"/>
      <c r="D16" s="138"/>
      <c r="E16" s="168"/>
      <c r="F16" s="169"/>
      <c r="G16" s="170"/>
      <c r="H16" s="161"/>
      <c r="I16" s="161"/>
      <c r="J16" s="161"/>
      <c r="K16" s="161"/>
      <c r="L16" s="161"/>
      <c r="M16" s="161"/>
      <c r="N16" s="164"/>
      <c r="O16" s="161"/>
      <c r="P16" s="161"/>
      <c r="Q16" s="161"/>
      <c r="R16" s="161"/>
      <c r="S16" s="161"/>
      <c r="T16" s="161"/>
      <c r="U16" s="161"/>
      <c r="V16" s="161"/>
      <c r="W16" s="161"/>
      <c r="X16" s="161"/>
      <c r="Y16" s="161"/>
      <c r="Z16" s="3"/>
    </row>
    <row r="17" spans="2:26">
      <c r="B17" s="9" t="s">
        <v>175</v>
      </c>
      <c r="C17" s="144" t="s">
        <v>248</v>
      </c>
      <c r="D17" s="8" t="s">
        <v>244</v>
      </c>
      <c r="E17" s="158"/>
      <c r="F17" s="157"/>
      <c r="G17" s="157"/>
      <c r="H17" s="157"/>
      <c r="I17" s="157" t="s">
        <v>176</v>
      </c>
      <c r="J17" s="158"/>
      <c r="K17" s="157"/>
      <c r="L17" s="157"/>
      <c r="M17" s="157"/>
      <c r="N17" s="163"/>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63"/>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8"/>
      <c r="F19" s="157"/>
      <c r="G19" s="157"/>
      <c r="H19" s="159"/>
      <c r="I19" s="159"/>
      <c r="J19" s="159"/>
      <c r="K19" s="159"/>
      <c r="L19" s="159"/>
      <c r="M19" s="159"/>
      <c r="N19" s="163"/>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63"/>
      <c r="O20" s="37">
        <f t="shared" si="4"/>
        <v>0</v>
      </c>
      <c r="P20" s="3"/>
      <c r="Q20" s="3"/>
      <c r="R20" s="3"/>
      <c r="S20" s="3"/>
      <c r="T20" s="162" t="str">
        <f t="shared" ref="T20:T23" si="5">IF(D20="", "", IF(F20="MWh/yr (LHV)", "Use column to right", "Enter data here"))</f>
        <v>Enter data here</v>
      </c>
      <c r="U20" s="162" t="str">
        <f t="shared" ref="U20:U23" si="6">IF(D20="", "", IF(F20="MWh/yr (LHV)", "Enter data here", "Use column to left"))</f>
        <v>Use column to left</v>
      </c>
      <c r="V20" s="158" t="s">
        <v>305</v>
      </c>
      <c r="W20" s="145" t="str">
        <f t="shared" ref="W20:W23" si="7">IFERROR(IF(F20="tonnes/yr", $Q20*$E20/($L$17*3.6), $S20*$E20*3.6/($L$17*3.6)),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63"/>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63"/>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63"/>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63"/>
      <c r="O24" s="37">
        <f t="shared" si="4"/>
        <v>0</v>
      </c>
      <c r="P24" s="3"/>
      <c r="Q24" s="3"/>
      <c r="R24" s="3"/>
      <c r="S24" s="3"/>
      <c r="T24" s="158">
        <v>1000</v>
      </c>
      <c r="U24" s="1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63"/>
      <c r="O25" s="37">
        <f t="shared" si="4"/>
        <v>0</v>
      </c>
      <c r="P25" s="3"/>
      <c r="Q25" s="3"/>
      <c r="R25" s="3"/>
      <c r="S25" s="3"/>
      <c r="T25" s="158">
        <v>28000</v>
      </c>
      <c r="U25" s="1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63"/>
      <c r="O26" s="37">
        <f t="shared" si="4"/>
        <v>0</v>
      </c>
      <c r="P26" s="3"/>
      <c r="Q26" s="3"/>
      <c r="R26" s="3"/>
      <c r="S26" s="3"/>
      <c r="T26" s="158">
        <v>265000</v>
      </c>
      <c r="U26" s="1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63"/>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63"/>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63"/>
      <c r="O29" s="37">
        <f t="shared" si="4"/>
        <v>0</v>
      </c>
      <c r="P29" s="3"/>
      <c r="T29" s="16"/>
      <c r="U29" s="15"/>
      <c r="V29" s="16"/>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63"/>
      <c r="O30" s="37">
        <f t="shared" si="4"/>
        <v>0</v>
      </c>
      <c r="P30" s="3"/>
      <c r="T30" s="16"/>
      <c r="U30" s="15"/>
      <c r="V30" s="16"/>
      <c r="W30" s="145" t="str">
        <f t="shared" si="8"/>
        <v>Unfilled fields on left</v>
      </c>
      <c r="X30" s="6"/>
      <c r="Y30" s="13"/>
      <c r="Z30" s="3"/>
    </row>
    <row r="31" spans="2:26">
      <c r="B31" s="9"/>
      <c r="C31" s="8"/>
      <c r="D31" s="8"/>
      <c r="E31" s="157"/>
      <c r="F31" s="157"/>
      <c r="G31" s="157"/>
      <c r="H31" s="159"/>
      <c r="I31" s="159"/>
      <c r="J31" s="159"/>
      <c r="K31" s="159"/>
      <c r="L31" s="159"/>
      <c r="M31" s="159"/>
      <c r="N31" s="163"/>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63"/>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63"/>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2"/>
      <c r="O34" s="12"/>
      <c r="P34" s="3"/>
      <c r="T34" s="12"/>
      <c r="U34" s="15"/>
      <c r="V34" s="12"/>
      <c r="W34" s="32"/>
      <c r="Z34" s="3"/>
    </row>
    <row r="35" spans="2:26">
      <c r="N35" s="156"/>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9"/>
      <c r="D38" s="9"/>
      <c r="E38" s="9"/>
    </row>
    <row r="39" spans="2:26">
      <c r="B39" s="9"/>
      <c r="C39" s="9"/>
      <c r="D39" s="9"/>
      <c r="E39" s="9"/>
    </row>
    <row r="40" spans="2:26">
      <c r="B40" s="9"/>
      <c r="C40" s="9"/>
      <c r="D40" s="9"/>
      <c r="E40" s="9"/>
    </row>
    <row r="41" spans="2:26">
      <c r="E41" s="3"/>
    </row>
    <row r="42" spans="2:26">
      <c r="E42" s="3"/>
    </row>
    <row r="43" spans="2:26">
      <c r="E43" s="3"/>
    </row>
    <row r="44" spans="2:26">
      <c r="E44" s="3"/>
    </row>
    <row r="45" spans="2:26">
      <c r="E45" s="3"/>
    </row>
    <row r="46" spans="2:26">
      <c r="E46" s="3"/>
    </row>
    <row r="47" spans="2:26">
      <c r="E47" s="3"/>
    </row>
    <row r="48" spans="2:26">
      <c r="E48" s="3"/>
    </row>
    <row r="49" spans="5:5">
      <c r="E49" s="3"/>
    </row>
    <row r="50" spans="5:5">
      <c r="E50" s="3"/>
    </row>
    <row r="51" spans="5:5">
      <c r="E51" s="3"/>
    </row>
    <row r="52" spans="5:5">
      <c r="E52" s="3"/>
    </row>
    <row r="53" spans="5:5">
      <c r="E53" s="3"/>
    </row>
    <row r="54" spans="5:5">
      <c r="E54" s="3"/>
    </row>
    <row r="55" spans="5:5">
      <c r="E55" s="3"/>
    </row>
    <row r="56" spans="5:5">
      <c r="E56" s="3"/>
    </row>
    <row r="57" spans="5:5">
      <c r="E57" s="3"/>
    </row>
    <row r="58" spans="5:5">
      <c r="E58" s="3"/>
    </row>
    <row r="59" spans="5:5">
      <c r="E59" s="3"/>
    </row>
    <row r="60" spans="5:5">
      <c r="E60" s="3"/>
    </row>
    <row r="61" spans="5:5">
      <c r="E61" s="3"/>
    </row>
    <row r="62" spans="5:5">
      <c r="E62" s="3"/>
    </row>
    <row r="63" spans="5:5">
      <c r="E63" s="3"/>
    </row>
    <row r="64" spans="5:5">
      <c r="E64" s="3"/>
    </row>
    <row r="65" spans="5:5">
      <c r="E65" s="3"/>
    </row>
    <row r="66" spans="5:5">
      <c r="E66" s="3"/>
    </row>
    <row r="67" spans="5:5">
      <c r="E67" s="3"/>
    </row>
    <row r="68" spans="5:5">
      <c r="E68" s="3"/>
    </row>
    <row r="69" spans="5:5">
      <c r="E69" s="3"/>
    </row>
    <row r="70" spans="5:5">
      <c r="E70" s="3"/>
    </row>
    <row r="71" spans="5:5">
      <c r="E71" s="3"/>
    </row>
    <row r="72" spans="5:5">
      <c r="E72" s="3"/>
    </row>
    <row r="73" spans="5:5">
      <c r="E73" s="3"/>
    </row>
    <row r="74" spans="5:5">
      <c r="E74" s="3"/>
    </row>
    <row r="75" spans="5:5">
      <c r="E75" s="3"/>
    </row>
    <row r="76" spans="5:5">
      <c r="E76" s="3"/>
    </row>
    <row r="77" spans="5:5">
      <c r="E77" s="3"/>
    </row>
    <row r="78" spans="5:5">
      <c r="E78" s="3"/>
    </row>
    <row r="79" spans="5:5">
      <c r="E79" s="3"/>
    </row>
    <row r="80" spans="5:5">
      <c r="E80" s="3"/>
    </row>
    <row r="81" spans="5:5">
      <c r="E81" s="3"/>
    </row>
  </sheetData>
  <dataValidations count="1">
    <dataValidation type="list" allowBlank="1" showInputMessage="1" showErrorMessage="1" sqref="D5:D14 D17:D33" xr:uid="{07BE9699-9C62-498A-AE4D-FA9BBD3DD09F}">
      <formula1>"tonnes/yr, MWh/yr (LHV)"</formula1>
    </dataValidation>
  </dataValidations>
  <pageMargins left="0.70000000000000007" right="0.70000000000000007" top="0.75" bottom="0.75" header="0.30000000000000004" footer="0.30000000000000004"/>
  <pageSetup paperSize="9" orientation="portrait" r:id="rId1"/>
  <ignoredErrors>
    <ignoredError sqref="O20:Y23 O5:Y19 O25:Y33 O24:U24 W24:Y24" unlockedFormula="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9" tint="0.79998168889431442"/>
  </sheetPr>
  <dimension ref="B2:Z53"/>
  <sheetViews>
    <sheetView showGridLines="0" zoomScale="85" zoomScaleNormal="85" workbookViewId="0"/>
  </sheetViews>
  <sheetFormatPr defaultColWidth="7.28515625" defaultRowHeight="15"/>
  <cols>
    <col min="1" max="1" width="5.28515625" style="3" customWidth="1"/>
    <col min="2" max="2" width="25" style="3" bestFit="1" customWidth="1"/>
    <col min="3" max="3" width="39" style="3" bestFit="1" customWidth="1"/>
    <col min="4" max="4" width="14.42578125" style="3" customWidth="1"/>
    <col min="5" max="5" width="15.28515625" style="5" customWidth="1"/>
    <col min="6" max="6" width="18.140625" style="3" customWidth="1"/>
    <col min="7" max="7" width="17" style="3" customWidth="1"/>
    <col min="8" max="8" width="11.85546875" style="4" customWidth="1"/>
    <col min="9" max="9" width="13.5703125" style="4" customWidth="1"/>
    <col min="10" max="10" width="12.5703125" style="4" customWidth="1"/>
    <col min="11" max="11" width="11" style="4" customWidth="1"/>
    <col min="12" max="12" width="12.28515625" style="4" customWidth="1"/>
    <col min="13" max="13" width="13" style="4" customWidth="1"/>
    <col min="14" max="14" width="16.5703125" style="4" customWidth="1"/>
    <col min="15" max="15" width="14" style="4" customWidth="1"/>
    <col min="16" max="16" width="19.140625" customWidth="1"/>
    <col min="17" max="17" width="5.85546875" style="3" customWidth="1"/>
    <col min="18" max="18" width="16" style="3" customWidth="1"/>
    <col min="19" max="19" width="19.7109375" style="3" customWidth="1"/>
    <col min="20" max="21" width="20.7109375" style="4" customWidth="1"/>
    <col min="22" max="22" width="16.28515625" style="4" customWidth="1"/>
    <col min="23" max="23" width="22.7109375" style="31" customWidth="1"/>
    <col min="24" max="24" width="7.28515625" style="3" customWidth="1"/>
    <col min="25" max="25" width="21.28515625" style="3" customWidth="1"/>
    <col min="27" max="16384" width="7.28515625" style="3"/>
  </cols>
  <sheetData>
    <row r="2" spans="2:26" ht="92.25" thickBot="1">
      <c r="B2" s="2" t="s">
        <v>161</v>
      </c>
      <c r="C2" s="2" t="s">
        <v>162</v>
      </c>
      <c r="D2" s="2" t="s">
        <v>8</v>
      </c>
      <c r="E2" s="7" t="s">
        <v>163</v>
      </c>
      <c r="F2" s="2" t="s">
        <v>308</v>
      </c>
      <c r="G2" s="2" t="s">
        <v>358</v>
      </c>
      <c r="H2" s="2" t="s">
        <v>164</v>
      </c>
      <c r="I2" s="2" t="s">
        <v>359</v>
      </c>
      <c r="J2" s="2" t="s">
        <v>333</v>
      </c>
      <c r="K2" s="2" t="s">
        <v>334</v>
      </c>
      <c r="L2" s="2" t="s">
        <v>306</v>
      </c>
      <c r="M2" s="2" t="s">
        <v>307</v>
      </c>
      <c r="N2" s="2" t="s">
        <v>336</v>
      </c>
      <c r="O2" s="2" t="s">
        <v>332</v>
      </c>
      <c r="P2" s="2" t="s">
        <v>330</v>
      </c>
      <c r="Q2" s="2"/>
      <c r="R2" s="30" t="s">
        <v>360</v>
      </c>
      <c r="S2" s="2" t="s">
        <v>331</v>
      </c>
      <c r="T2" s="2" t="s">
        <v>246</v>
      </c>
      <c r="U2" s="2" t="s">
        <v>335</v>
      </c>
      <c r="V2" s="2" t="s">
        <v>165</v>
      </c>
      <c r="W2" s="30" t="s">
        <v>247</v>
      </c>
      <c r="X2" s="30"/>
      <c r="Y2" s="2" t="s">
        <v>166</v>
      </c>
    </row>
    <row r="3" spans="2:26" ht="15.75" thickTop="1"/>
    <row r="4" spans="2:26">
      <c r="B4" s="142" t="s">
        <v>167</v>
      </c>
      <c r="C4" s="138"/>
      <c r="D4" s="138"/>
      <c r="E4" s="139"/>
      <c r="F4" s="138"/>
      <c r="G4" s="140"/>
      <c r="H4" s="141"/>
      <c r="I4" s="141"/>
      <c r="J4" s="141"/>
      <c r="K4" s="141"/>
      <c r="L4" s="141"/>
      <c r="M4" s="141"/>
      <c r="N4" s="141"/>
      <c r="O4" s="141"/>
      <c r="P4" s="141"/>
      <c r="Q4" s="141"/>
      <c r="R4" s="141"/>
      <c r="S4" s="141"/>
      <c r="T4" s="141"/>
      <c r="U4" s="141"/>
      <c r="V4" s="141"/>
      <c r="W4" s="141"/>
      <c r="X4" s="141"/>
      <c r="Y4" s="141"/>
      <c r="Z4" s="3"/>
    </row>
    <row r="5" spans="2:26">
      <c r="B5" s="9" t="s">
        <v>168</v>
      </c>
      <c r="C5" s="144" t="str">
        <f>'Feedstock collection'!C17</f>
        <v>e.g. Forestry residue chips</v>
      </c>
      <c r="D5" s="8" t="s">
        <v>244</v>
      </c>
      <c r="E5" s="162"/>
      <c r="F5" s="157"/>
      <c r="G5" s="157"/>
      <c r="H5" s="159"/>
      <c r="I5" s="159" t="s">
        <v>176</v>
      </c>
      <c r="J5" s="162"/>
      <c r="K5" s="159"/>
      <c r="L5" s="159"/>
      <c r="M5" s="159"/>
      <c r="N5" s="14"/>
      <c r="O5" s="37">
        <f t="shared" ref="O5:O14" si="0">IF($D5="MWh/yr (LHV)",$E5,$J5*$E5*(1-$L5)/3.6)</f>
        <v>0</v>
      </c>
      <c r="P5" s="3"/>
      <c r="T5" s="162" t="str">
        <f t="shared" ref="T5:T14" si="1">IF(B5="", "", IF(D5="MWh/yr (LHV)", "Use column to right", "Enter data here"))</f>
        <v>Enter data here</v>
      </c>
      <c r="U5" s="162" t="str">
        <f t="shared" ref="U5:U14" si="2">IF(B5="", "", IF(D5="MWh/yr (LHV)", "Enter data here", "Use column to left"))</f>
        <v>Use column to left</v>
      </c>
      <c r="V5" s="158" t="s">
        <v>276</v>
      </c>
      <c r="W5" s="145" t="str">
        <f>IFERROR(IF(D5="tonnes/yr", $T5*$E5/($O$17*3.6), $U5*$E5*3.6/($O$17*3.6)), "Unfilled fields on left")</f>
        <v>Unfilled fields on left</v>
      </c>
      <c r="Y5" s="16"/>
      <c r="Z5" s="3"/>
    </row>
    <row r="6" spans="2:26">
      <c r="B6" s="143" t="s">
        <v>170</v>
      </c>
      <c r="C6" s="144" t="s">
        <v>171</v>
      </c>
      <c r="D6" s="8" t="s">
        <v>245</v>
      </c>
      <c r="E6" s="159"/>
      <c r="F6" s="157"/>
      <c r="G6" s="157"/>
      <c r="H6" s="159"/>
      <c r="I6" s="159"/>
      <c r="J6" s="159"/>
      <c r="K6" s="159"/>
      <c r="L6" s="159"/>
      <c r="M6" s="159"/>
      <c r="N6" s="14"/>
      <c r="O6" s="37">
        <f t="shared" si="0"/>
        <v>0</v>
      </c>
      <c r="P6" s="3"/>
      <c r="T6" s="162" t="str">
        <f t="shared" si="1"/>
        <v>Use column to right</v>
      </c>
      <c r="U6" s="162" t="str">
        <f t="shared" si="2"/>
        <v>Enter data here</v>
      </c>
      <c r="V6" s="158" t="s">
        <v>276</v>
      </c>
      <c r="W6" s="145" t="str">
        <f t="shared" ref="W6:W14" si="3">IFERROR(IF(D6="tonnes/yr", $T6*$E6/($O$17*3.6), $U6*$E6*3.6/($O$17*3.6)), "Unfilled fields on left")</f>
        <v>Unfilled fields on left</v>
      </c>
      <c r="Y6" s="13"/>
      <c r="Z6" s="3"/>
    </row>
    <row r="7" spans="2:26">
      <c r="B7" s="143" t="s">
        <v>170</v>
      </c>
      <c r="C7" s="144" t="s">
        <v>178</v>
      </c>
      <c r="D7" s="8" t="s">
        <v>245</v>
      </c>
      <c r="E7" s="159"/>
      <c r="F7" s="157"/>
      <c r="G7" s="157"/>
      <c r="H7" s="159"/>
      <c r="I7" s="159"/>
      <c r="J7" s="159"/>
      <c r="K7" s="159"/>
      <c r="L7" s="159"/>
      <c r="M7" s="159"/>
      <c r="N7" s="14"/>
      <c r="O7" s="37">
        <f t="shared" si="0"/>
        <v>0</v>
      </c>
      <c r="P7" s="3"/>
      <c r="T7" s="162" t="str">
        <f t="shared" si="1"/>
        <v>Use column to right</v>
      </c>
      <c r="U7" s="162" t="str">
        <f t="shared" si="2"/>
        <v>Enter data here</v>
      </c>
      <c r="V7" s="158" t="s">
        <v>276</v>
      </c>
      <c r="W7" s="145" t="str">
        <f t="shared" si="3"/>
        <v>Unfilled fields on left</v>
      </c>
      <c r="Y7" s="13"/>
      <c r="Z7" s="3"/>
    </row>
    <row r="8" spans="2:26" s="6" customFormat="1">
      <c r="B8" s="143" t="s">
        <v>170</v>
      </c>
      <c r="C8" s="144" t="s">
        <v>173</v>
      </c>
      <c r="D8" s="8" t="s">
        <v>244</v>
      </c>
      <c r="E8" s="157"/>
      <c r="F8" s="157"/>
      <c r="G8" s="157"/>
      <c r="H8" s="159"/>
      <c r="I8" s="159"/>
      <c r="J8" s="159"/>
      <c r="K8" s="159"/>
      <c r="L8" s="159"/>
      <c r="M8" s="159"/>
      <c r="N8" s="14"/>
      <c r="O8" s="37">
        <f t="shared" si="0"/>
        <v>0</v>
      </c>
      <c r="P8" s="3"/>
      <c r="Q8" s="3"/>
      <c r="R8" s="3"/>
      <c r="S8" s="3"/>
      <c r="T8" s="162" t="str">
        <f t="shared" si="1"/>
        <v>Enter data here</v>
      </c>
      <c r="U8" s="162" t="str">
        <f t="shared" si="2"/>
        <v>Use column to left</v>
      </c>
      <c r="V8" s="158" t="s">
        <v>276</v>
      </c>
      <c r="W8" s="145" t="str">
        <f t="shared" si="3"/>
        <v>Unfilled fields on left</v>
      </c>
      <c r="Y8" s="17"/>
    </row>
    <row r="9" spans="2:26" s="6" customFormat="1">
      <c r="B9" s="143" t="s">
        <v>170</v>
      </c>
      <c r="C9" s="144" t="s">
        <v>239</v>
      </c>
      <c r="D9" s="8" t="s">
        <v>244</v>
      </c>
      <c r="E9" s="157"/>
      <c r="F9" s="157"/>
      <c r="G9" s="157"/>
      <c r="H9" s="159"/>
      <c r="I9" s="159"/>
      <c r="J9" s="159"/>
      <c r="K9" s="159"/>
      <c r="L9" s="159"/>
      <c r="M9" s="159"/>
      <c r="N9" s="14"/>
      <c r="O9" s="37">
        <f t="shared" si="0"/>
        <v>0</v>
      </c>
      <c r="P9" s="3"/>
      <c r="Q9" s="3"/>
      <c r="R9" s="3"/>
      <c r="S9" s="3"/>
      <c r="T9" s="162" t="str">
        <f t="shared" si="1"/>
        <v>Enter data here</v>
      </c>
      <c r="U9" s="162" t="str">
        <f t="shared" si="2"/>
        <v>Use column to left</v>
      </c>
      <c r="V9" s="158" t="s">
        <v>276</v>
      </c>
      <c r="W9" s="145" t="str">
        <f t="shared" si="3"/>
        <v>Unfilled fields on left</v>
      </c>
      <c r="Y9" s="17"/>
    </row>
    <row r="10" spans="2:26">
      <c r="B10" s="143" t="s">
        <v>182</v>
      </c>
      <c r="C10" s="144" t="s">
        <v>183</v>
      </c>
      <c r="D10" s="8" t="s">
        <v>244</v>
      </c>
      <c r="E10" s="157"/>
      <c r="F10" s="157"/>
      <c r="G10" s="157"/>
      <c r="H10" s="159"/>
      <c r="I10" s="159"/>
      <c r="J10" s="159"/>
      <c r="K10" s="159"/>
      <c r="L10" s="159"/>
      <c r="M10" s="159"/>
      <c r="N10" s="14"/>
      <c r="O10" s="37">
        <f t="shared" si="0"/>
        <v>0</v>
      </c>
      <c r="P10" s="3"/>
      <c r="T10" s="162" t="str">
        <f t="shared" si="1"/>
        <v>Enter data here</v>
      </c>
      <c r="U10" s="162" t="str">
        <f t="shared" si="2"/>
        <v>Use column to left</v>
      </c>
      <c r="V10" s="158" t="s">
        <v>276</v>
      </c>
      <c r="W10" s="145" t="str">
        <f t="shared" si="3"/>
        <v>Unfilled fields on left</v>
      </c>
      <c r="Y10" s="17"/>
      <c r="Z10" s="3"/>
    </row>
    <row r="11" spans="2:26">
      <c r="B11" s="143" t="s">
        <v>182</v>
      </c>
      <c r="C11" s="144" t="s">
        <v>240</v>
      </c>
      <c r="D11" s="8" t="s">
        <v>244</v>
      </c>
      <c r="E11" s="157"/>
      <c r="F11" s="157"/>
      <c r="G11" s="157"/>
      <c r="H11" s="159"/>
      <c r="I11" s="159"/>
      <c r="J11" s="159"/>
      <c r="K11" s="159"/>
      <c r="L11" s="159"/>
      <c r="M11" s="159"/>
      <c r="N11" s="14"/>
      <c r="O11" s="37">
        <f t="shared" si="0"/>
        <v>0</v>
      </c>
      <c r="P11" s="3"/>
      <c r="T11" s="162" t="str">
        <f t="shared" si="1"/>
        <v>Enter data here</v>
      </c>
      <c r="U11" s="162" t="str">
        <f t="shared" si="2"/>
        <v>Use column to left</v>
      </c>
      <c r="V11" s="158" t="s">
        <v>276</v>
      </c>
      <c r="W11" s="145" t="str">
        <f t="shared" si="3"/>
        <v>Unfilled fields on left</v>
      </c>
      <c r="Y11" s="17"/>
      <c r="Z11" s="3"/>
    </row>
    <row r="12" spans="2:26">
      <c r="B12" s="143" t="s">
        <v>243</v>
      </c>
      <c r="C12" s="144" t="s">
        <v>241</v>
      </c>
      <c r="D12" s="8" t="s">
        <v>244</v>
      </c>
      <c r="E12" s="157"/>
      <c r="F12" s="157"/>
      <c r="G12" s="157"/>
      <c r="H12" s="159"/>
      <c r="I12" s="159"/>
      <c r="J12" s="159"/>
      <c r="K12" s="159"/>
      <c r="L12" s="159"/>
      <c r="M12" s="159"/>
      <c r="N12" s="14"/>
      <c r="O12" s="37">
        <f t="shared" si="0"/>
        <v>0</v>
      </c>
      <c r="P12" s="3"/>
      <c r="T12" s="162" t="str">
        <f t="shared" si="1"/>
        <v>Enter data here</v>
      </c>
      <c r="U12" s="162" t="str">
        <f t="shared" si="2"/>
        <v>Use column to left</v>
      </c>
      <c r="V12" s="158" t="s">
        <v>276</v>
      </c>
      <c r="W12" s="145" t="str">
        <f t="shared" si="3"/>
        <v>Unfilled fields on left</v>
      </c>
      <c r="Y12" s="17"/>
      <c r="Z12" s="3"/>
    </row>
    <row r="13" spans="2:26">
      <c r="B13" s="143" t="s">
        <v>243</v>
      </c>
      <c r="C13" s="144" t="s">
        <v>242</v>
      </c>
      <c r="D13" s="8" t="s">
        <v>244</v>
      </c>
      <c r="E13" s="157"/>
      <c r="F13" s="157"/>
      <c r="G13" s="157"/>
      <c r="H13" s="159"/>
      <c r="I13" s="159"/>
      <c r="J13" s="159"/>
      <c r="K13" s="159"/>
      <c r="L13" s="159"/>
      <c r="M13" s="159"/>
      <c r="N13" s="14"/>
      <c r="O13" s="37">
        <f t="shared" si="0"/>
        <v>0</v>
      </c>
      <c r="P13" s="3"/>
      <c r="T13" s="162" t="str">
        <f t="shared" si="1"/>
        <v>Enter data here</v>
      </c>
      <c r="U13" s="162" t="str">
        <f t="shared" si="2"/>
        <v>Use column to left</v>
      </c>
      <c r="V13" s="158" t="s">
        <v>276</v>
      </c>
      <c r="W13" s="145" t="str">
        <f t="shared" si="3"/>
        <v>Unfilled fields on left</v>
      </c>
      <c r="Y13" s="17"/>
      <c r="Z13" s="3"/>
    </row>
    <row r="14" spans="2:26">
      <c r="B14" s="8"/>
      <c r="C14" s="9"/>
      <c r="D14" s="8"/>
      <c r="E14" s="157"/>
      <c r="F14" s="157"/>
      <c r="G14" s="157"/>
      <c r="H14" s="159"/>
      <c r="I14" s="159"/>
      <c r="J14" s="159"/>
      <c r="K14" s="159"/>
      <c r="L14" s="159"/>
      <c r="M14" s="159"/>
      <c r="N14" s="14"/>
      <c r="O14" s="37">
        <f t="shared" si="0"/>
        <v>0</v>
      </c>
      <c r="P14" s="3"/>
      <c r="T14" s="162" t="str">
        <f t="shared" si="1"/>
        <v/>
      </c>
      <c r="U14" s="162" t="str">
        <f t="shared" si="2"/>
        <v/>
      </c>
      <c r="V14" s="158" t="s">
        <v>276</v>
      </c>
      <c r="W14" s="145" t="str">
        <f t="shared" si="3"/>
        <v>Unfilled fields on left</v>
      </c>
      <c r="Y14" s="17"/>
      <c r="Z14" s="3"/>
    </row>
    <row r="15" spans="2:26">
      <c r="C15" s="10"/>
      <c r="D15" s="10"/>
      <c r="E15" s="165"/>
      <c r="F15" s="166"/>
      <c r="G15" s="167"/>
      <c r="H15" s="160"/>
      <c r="I15" s="160"/>
      <c r="J15" s="160"/>
      <c r="K15" s="160"/>
      <c r="L15" s="160"/>
      <c r="M15" s="160"/>
      <c r="N15" s="14"/>
      <c r="O15" s="160"/>
      <c r="T15" s="160"/>
      <c r="U15" s="160"/>
      <c r="V15" s="160"/>
      <c r="W15" s="146"/>
      <c r="Y15" s="18"/>
      <c r="Z15" s="3"/>
    </row>
    <row r="16" spans="2:26">
      <c r="B16" s="142" t="s">
        <v>174</v>
      </c>
      <c r="C16" s="138"/>
      <c r="D16" s="138"/>
      <c r="E16" s="168"/>
      <c r="F16" s="169"/>
      <c r="G16" s="170"/>
      <c r="H16" s="161"/>
      <c r="I16" s="161"/>
      <c r="J16" s="161"/>
      <c r="K16" s="161"/>
      <c r="L16" s="161"/>
      <c r="M16" s="161"/>
      <c r="N16" s="141"/>
      <c r="O16" s="161"/>
      <c r="P16" s="141"/>
      <c r="Q16" s="141"/>
      <c r="R16" s="141"/>
      <c r="S16" s="141"/>
      <c r="T16" s="161"/>
      <c r="U16" s="161"/>
      <c r="V16" s="161"/>
      <c r="W16" s="141"/>
      <c r="X16" s="141"/>
      <c r="Y16" s="141"/>
      <c r="Z16" s="3"/>
    </row>
    <row r="17" spans="2:26">
      <c r="B17" s="9" t="s">
        <v>175</v>
      </c>
      <c r="C17" s="144" t="s">
        <v>248</v>
      </c>
      <c r="D17" s="8" t="s">
        <v>244</v>
      </c>
      <c r="E17" s="158"/>
      <c r="F17" s="157"/>
      <c r="G17" s="157"/>
      <c r="H17" s="157"/>
      <c r="I17" s="157" t="s">
        <v>176</v>
      </c>
      <c r="J17" s="158"/>
      <c r="K17" s="157"/>
      <c r="L17" s="157"/>
      <c r="M17" s="157"/>
      <c r="N17" s="14"/>
      <c r="O17" s="37">
        <f t="shared" ref="O17:O33" si="4">IF($D17="MWh/yr (LHV)",$E17,$J17*$E17*(1-$L17)/3.6)</f>
        <v>0</v>
      </c>
      <c r="P17" s="174" t="str">
        <f>IFERROR(O17/O5,"")</f>
        <v/>
      </c>
      <c r="R17" s="37">
        <f>IF($D17="MWh/yr (LHV)",$E17,$E17*MAX(0, $J17*(1-$L17)-2.441*$L17)/kWh_to_MJ)</f>
        <v>0</v>
      </c>
      <c r="S17" s="173" t="str">
        <f>IFERROR(R17/(SUM($R$17:$R$19)),"")</f>
        <v/>
      </c>
      <c r="T17" s="175"/>
      <c r="U17" s="175"/>
      <c r="V17" s="175"/>
      <c r="W17" s="147"/>
      <c r="Y17" s="13"/>
      <c r="Z17" s="3"/>
    </row>
    <row r="18" spans="2:26" s="6" customFormat="1">
      <c r="B18" s="143" t="s">
        <v>179</v>
      </c>
      <c r="C18" s="144" t="s">
        <v>363</v>
      </c>
      <c r="D18" s="8" t="s">
        <v>244</v>
      </c>
      <c r="E18" s="158"/>
      <c r="F18" s="157"/>
      <c r="G18" s="157"/>
      <c r="H18" s="159"/>
      <c r="I18" s="159"/>
      <c r="J18" s="159"/>
      <c r="K18" s="159"/>
      <c r="L18" s="159"/>
      <c r="M18" s="159"/>
      <c r="N18" s="14"/>
      <c r="O18" s="37">
        <f t="shared" si="4"/>
        <v>0</v>
      </c>
      <c r="P18" s="3"/>
      <c r="Q18" s="3"/>
      <c r="R18" s="37">
        <f>IF($D18="MWh/yr (LHV)",$E18,$E18*MAX(0, $J18*(1-$L18)-2.441*$L18)/kWh_to_MJ)</f>
        <v>0</v>
      </c>
      <c r="S18" s="173" t="str">
        <f>IFERROR(R18/(SUM($R$17:$R$19)),"")</f>
        <v/>
      </c>
      <c r="T18" s="175"/>
      <c r="U18" s="175"/>
      <c r="V18" s="175"/>
      <c r="W18" s="147"/>
      <c r="Y18" s="13"/>
    </row>
    <row r="19" spans="2:26" s="6" customFormat="1">
      <c r="B19" s="143" t="s">
        <v>179</v>
      </c>
      <c r="C19" s="144" t="s">
        <v>363</v>
      </c>
      <c r="D19" s="8" t="s">
        <v>244</v>
      </c>
      <c r="E19" s="158"/>
      <c r="F19" s="157"/>
      <c r="G19" s="157"/>
      <c r="H19" s="159"/>
      <c r="I19" s="159"/>
      <c r="J19" s="159"/>
      <c r="K19" s="159"/>
      <c r="L19" s="159"/>
      <c r="M19" s="159"/>
      <c r="N19" s="14"/>
      <c r="O19" s="37">
        <f t="shared" si="4"/>
        <v>0</v>
      </c>
      <c r="P19" s="3"/>
      <c r="Q19" s="3"/>
      <c r="R19" s="37">
        <f>IF($D19="MWh/yr (LHV)",$E19,$E19*MAX(0, $J19*(1-$L19)-2.441*$L19)/kWh_to_MJ)</f>
        <v>0</v>
      </c>
      <c r="S19" s="173" t="str">
        <f>IFERROR(R19/(SUM($R$17:$R$19)),"")</f>
        <v/>
      </c>
      <c r="T19" s="175"/>
      <c r="U19" s="175"/>
      <c r="V19" s="175"/>
      <c r="W19" s="147"/>
      <c r="Y19" s="13"/>
    </row>
    <row r="20" spans="2:26" s="6" customFormat="1">
      <c r="B20" s="143" t="s">
        <v>177</v>
      </c>
      <c r="C20" s="144" t="s">
        <v>251</v>
      </c>
      <c r="D20" s="8" t="s">
        <v>244</v>
      </c>
      <c r="E20" s="157"/>
      <c r="F20" s="157"/>
      <c r="G20" s="157"/>
      <c r="H20" s="159"/>
      <c r="I20" s="159"/>
      <c r="J20" s="159"/>
      <c r="K20" s="159"/>
      <c r="L20" s="159"/>
      <c r="M20" s="159"/>
      <c r="N20" s="14"/>
      <c r="O20" s="37">
        <f t="shared" si="4"/>
        <v>0</v>
      </c>
      <c r="P20" s="3"/>
      <c r="Q20" s="3"/>
      <c r="R20" s="3"/>
      <c r="S20" s="3"/>
      <c r="T20" s="162" t="str">
        <f t="shared" ref="T20:T23" si="5">IF(B20="", "", IF(D20="MWh/yr (LHV)", "Use column to right", "Enter data here"))</f>
        <v>Enter data here</v>
      </c>
      <c r="U20" s="162" t="str">
        <f t="shared" ref="U20:U23" si="6">IF(B20="", "", IF(D20="MWh/yr (LHV)", "Enter data here", "Use column to left"))</f>
        <v>Use column to left</v>
      </c>
      <c r="V20" s="158" t="s">
        <v>305</v>
      </c>
      <c r="W20" s="145" t="str">
        <f t="shared" ref="W20:W23" si="7">IFERROR(IF(D20="tonnes/yr", $T20*$E20/($O$17*3.6), $U20*$E20*3.6/($O$17*3.6)), "Unfilled fields on left")</f>
        <v>Unfilled fields on left</v>
      </c>
      <c r="Y20" s="13"/>
    </row>
    <row r="21" spans="2:26" s="6" customFormat="1">
      <c r="B21" s="143" t="s">
        <v>177</v>
      </c>
      <c r="C21" s="144" t="s">
        <v>273</v>
      </c>
      <c r="D21" s="8" t="s">
        <v>244</v>
      </c>
      <c r="E21" s="157"/>
      <c r="F21" s="157"/>
      <c r="G21" s="157"/>
      <c r="H21" s="159"/>
      <c r="I21" s="159"/>
      <c r="J21" s="159"/>
      <c r="K21" s="159"/>
      <c r="L21" s="159"/>
      <c r="M21" s="159"/>
      <c r="N21" s="14"/>
      <c r="O21" s="37">
        <f t="shared" si="4"/>
        <v>0</v>
      </c>
      <c r="P21" s="3"/>
      <c r="Q21" s="3"/>
      <c r="R21" s="3"/>
      <c r="S21" s="3"/>
      <c r="T21" s="162" t="str">
        <f t="shared" si="5"/>
        <v>Enter data here</v>
      </c>
      <c r="U21" s="162" t="str">
        <f t="shared" si="6"/>
        <v>Use column to left</v>
      </c>
      <c r="V21" s="158" t="s">
        <v>305</v>
      </c>
      <c r="W21" s="145" t="str">
        <f t="shared" si="7"/>
        <v>Unfilled fields on left</v>
      </c>
      <c r="Y21" s="13"/>
    </row>
    <row r="22" spans="2:26" s="6" customFormat="1">
      <c r="B22" s="143" t="s">
        <v>180</v>
      </c>
      <c r="C22" s="144" t="s">
        <v>252</v>
      </c>
      <c r="D22" s="8" t="s">
        <v>244</v>
      </c>
      <c r="E22" s="158"/>
      <c r="F22" s="157"/>
      <c r="G22" s="157"/>
      <c r="H22" s="159"/>
      <c r="I22" s="162"/>
      <c r="J22" s="162"/>
      <c r="K22" s="159"/>
      <c r="L22" s="159"/>
      <c r="M22" s="159"/>
      <c r="N22" s="14"/>
      <c r="O22" s="37">
        <f t="shared" si="4"/>
        <v>0</v>
      </c>
      <c r="P22" s="3"/>
      <c r="Q22" s="3"/>
      <c r="R22" s="3"/>
      <c r="S22" s="3"/>
      <c r="T22" s="162" t="str">
        <f t="shared" si="5"/>
        <v>Enter data here</v>
      </c>
      <c r="U22" s="162" t="str">
        <f t="shared" si="6"/>
        <v>Use column to left</v>
      </c>
      <c r="V22" s="158" t="s">
        <v>305</v>
      </c>
      <c r="W22" s="145" t="str">
        <f t="shared" si="7"/>
        <v>Unfilled fields on left</v>
      </c>
      <c r="Y22" s="13"/>
    </row>
    <row r="23" spans="2:26" s="6" customFormat="1">
      <c r="B23" s="143" t="s">
        <v>180</v>
      </c>
      <c r="C23" s="144" t="s">
        <v>181</v>
      </c>
      <c r="D23" s="8" t="s">
        <v>244</v>
      </c>
      <c r="E23" s="157"/>
      <c r="F23" s="157"/>
      <c r="G23" s="157"/>
      <c r="H23" s="159"/>
      <c r="I23" s="159"/>
      <c r="J23" s="159"/>
      <c r="K23" s="159"/>
      <c r="L23" s="159"/>
      <c r="M23" s="159"/>
      <c r="N23" s="14"/>
      <c r="O23" s="37">
        <f t="shared" si="4"/>
        <v>0</v>
      </c>
      <c r="P23" s="3"/>
      <c r="Q23" s="3"/>
      <c r="R23" s="3"/>
      <c r="S23" s="3"/>
      <c r="T23" s="162" t="str">
        <f t="shared" si="5"/>
        <v>Enter data here</v>
      </c>
      <c r="U23" s="162" t="str">
        <f t="shared" si="6"/>
        <v>Use column to left</v>
      </c>
      <c r="V23" s="158" t="s">
        <v>305</v>
      </c>
      <c r="W23" s="145" t="str">
        <f t="shared" si="7"/>
        <v>Unfilled fields on left</v>
      </c>
      <c r="Y23" s="13"/>
    </row>
    <row r="24" spans="2:26" s="6" customFormat="1">
      <c r="B24" s="143" t="s">
        <v>375</v>
      </c>
      <c r="C24" s="144" t="s">
        <v>380</v>
      </c>
      <c r="D24" s="8" t="s">
        <v>244</v>
      </c>
      <c r="E24" s="157"/>
      <c r="F24" s="157"/>
      <c r="G24" s="157"/>
      <c r="H24" s="159"/>
      <c r="I24" s="159"/>
      <c r="J24" s="159"/>
      <c r="K24" s="159"/>
      <c r="L24" s="159"/>
      <c r="M24" s="159"/>
      <c r="N24" s="14"/>
      <c r="O24" s="37">
        <f t="shared" si="4"/>
        <v>0</v>
      </c>
      <c r="P24" s="3"/>
      <c r="Q24" s="3"/>
      <c r="R24" s="3"/>
      <c r="S24" s="3"/>
      <c r="T24" s="158">
        <v>1000</v>
      </c>
      <c r="U24" s="175"/>
      <c r="V24" s="158" t="s">
        <v>270</v>
      </c>
      <c r="W24" s="145" t="str">
        <f>IFERROR(IF(D24="tonnes/yr", $T24*$E24/($O$17*3.6), $U24*$E24*3.6/($O$17*3.6)), "Unfilled fields on left")</f>
        <v>Unfilled fields on left</v>
      </c>
      <c r="Y24" s="13"/>
    </row>
    <row r="25" spans="2:26" s="6" customFormat="1">
      <c r="B25" s="143" t="s">
        <v>376</v>
      </c>
      <c r="C25" s="144" t="s">
        <v>253</v>
      </c>
      <c r="D25" s="8" t="s">
        <v>244</v>
      </c>
      <c r="E25" s="157"/>
      <c r="F25" s="157"/>
      <c r="G25" s="157"/>
      <c r="H25" s="159"/>
      <c r="I25" s="159"/>
      <c r="J25" s="159"/>
      <c r="K25" s="159"/>
      <c r="L25" s="159"/>
      <c r="M25" s="159"/>
      <c r="N25" s="14"/>
      <c r="O25" s="37">
        <f t="shared" si="4"/>
        <v>0</v>
      </c>
      <c r="P25" s="3"/>
      <c r="Q25" s="3"/>
      <c r="R25" s="3"/>
      <c r="S25" s="3"/>
      <c r="T25" s="158">
        <v>28000</v>
      </c>
      <c r="U25" s="175"/>
      <c r="V25" s="158" t="s">
        <v>256</v>
      </c>
      <c r="W25" s="145" t="str">
        <f>IFERROR(IF(D25="tonnes/yr", $T25*$E25/($O$17*3.6), $U25*$E25*3.6/($O$17*3.6)), "Unfilled fields on left")</f>
        <v>Unfilled fields on left</v>
      </c>
      <c r="Y25" s="13"/>
    </row>
    <row r="26" spans="2:26" s="6" customFormat="1">
      <c r="B26" s="143" t="s">
        <v>376</v>
      </c>
      <c r="C26" s="144" t="s">
        <v>254</v>
      </c>
      <c r="D26" s="8" t="s">
        <v>244</v>
      </c>
      <c r="E26" s="157"/>
      <c r="F26" s="157"/>
      <c r="G26" s="157"/>
      <c r="H26" s="159"/>
      <c r="I26" s="159"/>
      <c r="J26" s="159"/>
      <c r="K26" s="159"/>
      <c r="L26" s="159"/>
      <c r="M26" s="159"/>
      <c r="N26" s="14"/>
      <c r="O26" s="37">
        <f t="shared" si="4"/>
        <v>0</v>
      </c>
      <c r="P26" s="3"/>
      <c r="Q26" s="3"/>
      <c r="R26" s="3"/>
      <c r="S26" s="3"/>
      <c r="T26" s="158">
        <v>265000</v>
      </c>
      <c r="U26" s="175"/>
      <c r="V26" s="158" t="s">
        <v>256</v>
      </c>
      <c r="W26" s="145" t="str">
        <f>IFERROR(IF(D26="tonnes/yr", $T26*$E26/($O$17*3.6), $U26*$E26*3.6/($O$17*3.6)), "Unfilled fields on left")</f>
        <v>Unfilled fields on left</v>
      </c>
      <c r="Y26" s="13"/>
    </row>
    <row r="27" spans="2:26" s="6" customFormat="1">
      <c r="B27" s="9"/>
      <c r="C27" s="8"/>
      <c r="D27" s="8"/>
      <c r="E27" s="157"/>
      <c r="F27" s="157"/>
      <c r="G27" s="157"/>
      <c r="H27" s="159"/>
      <c r="I27" s="159"/>
      <c r="J27" s="159"/>
      <c r="K27" s="159"/>
      <c r="L27" s="159"/>
      <c r="M27" s="159"/>
      <c r="N27" s="14"/>
      <c r="O27" s="37">
        <f t="shared" si="4"/>
        <v>0</v>
      </c>
      <c r="P27" s="3"/>
      <c r="Q27" s="3"/>
      <c r="R27" s="3"/>
      <c r="S27" s="3"/>
      <c r="T27" s="16"/>
      <c r="U27" s="15"/>
      <c r="V27" s="16"/>
      <c r="W27" s="145" t="str">
        <f>IFERROR(IF(D27="tonnes/yr", $T27*$E27/($O$17*3.6), $U27*$E27*3.6/($O$17*3.6)), "Unfilled fields on left")</f>
        <v>Unfilled fields on left</v>
      </c>
      <c r="Y27" s="13"/>
    </row>
    <row r="28" spans="2:26" s="6" customFormat="1">
      <c r="B28" s="9"/>
      <c r="C28" s="8"/>
      <c r="D28" s="8"/>
      <c r="E28" s="157"/>
      <c r="F28" s="157"/>
      <c r="G28" s="157"/>
      <c r="H28" s="159"/>
      <c r="I28" s="159"/>
      <c r="J28" s="159"/>
      <c r="K28" s="159"/>
      <c r="L28" s="159"/>
      <c r="M28" s="159"/>
      <c r="N28" s="14"/>
      <c r="O28" s="37">
        <f t="shared" si="4"/>
        <v>0</v>
      </c>
      <c r="P28" s="3"/>
      <c r="Q28" s="3"/>
      <c r="R28" s="3"/>
      <c r="S28" s="3"/>
      <c r="T28" s="16"/>
      <c r="U28" s="15"/>
      <c r="V28" s="16"/>
      <c r="W28" s="145" t="str">
        <f>IFERROR(IF(D28="tonnes/yr", $T28*$E28/($O$17*3.6), $U28*$E28*3.6/($O$17*3.6)), "Unfilled fields on left")</f>
        <v>Unfilled fields on left</v>
      </c>
      <c r="Y28" s="13"/>
    </row>
    <row r="29" spans="2:26">
      <c r="B29" s="9"/>
      <c r="C29" s="8"/>
      <c r="D29" s="8"/>
      <c r="E29" s="157"/>
      <c r="F29" s="157"/>
      <c r="G29" s="157"/>
      <c r="H29" s="159"/>
      <c r="I29" s="159"/>
      <c r="J29" s="159"/>
      <c r="K29" s="159"/>
      <c r="L29" s="159"/>
      <c r="M29" s="159"/>
      <c r="N29" s="14"/>
      <c r="O29" s="37">
        <f t="shared" si="4"/>
        <v>0</v>
      </c>
      <c r="P29" s="3"/>
      <c r="T29" s="16"/>
      <c r="U29" s="15"/>
      <c r="V29" s="16"/>
      <c r="W29" s="145" t="str">
        <f t="shared" ref="W29:W33" si="8">IFERROR(IF(D29="tonnes/yr", $T29*$E29/($O$17*3.6), $U29*$E29*3.6/($O$17*3.6)), "Unfilled fields on left")</f>
        <v>Unfilled fields on left</v>
      </c>
      <c r="X29" s="6"/>
      <c r="Y29" s="13"/>
      <c r="Z29" s="3"/>
    </row>
    <row r="30" spans="2:26">
      <c r="B30" s="9"/>
      <c r="C30" s="8"/>
      <c r="D30" s="8"/>
      <c r="E30" s="157"/>
      <c r="F30" s="157"/>
      <c r="G30" s="157"/>
      <c r="H30" s="159"/>
      <c r="I30" s="159"/>
      <c r="J30" s="159"/>
      <c r="K30" s="159"/>
      <c r="L30" s="159"/>
      <c r="M30" s="159"/>
      <c r="N30" s="14"/>
      <c r="O30" s="37">
        <f t="shared" si="4"/>
        <v>0</v>
      </c>
      <c r="P30" s="3"/>
      <c r="T30" s="16"/>
      <c r="U30" s="15"/>
      <c r="V30" s="16"/>
      <c r="W30" s="145" t="str">
        <f t="shared" si="8"/>
        <v>Unfilled fields on left</v>
      </c>
      <c r="X30" s="6"/>
      <c r="Y30" s="13"/>
      <c r="Z30" s="3"/>
    </row>
    <row r="31" spans="2:26">
      <c r="B31" s="9"/>
      <c r="C31" s="8"/>
      <c r="D31" s="8"/>
      <c r="E31" s="157"/>
      <c r="F31" s="157"/>
      <c r="G31" s="157"/>
      <c r="H31" s="159"/>
      <c r="I31" s="159"/>
      <c r="J31" s="159"/>
      <c r="K31" s="159"/>
      <c r="L31" s="159"/>
      <c r="M31" s="159"/>
      <c r="N31" s="14"/>
      <c r="O31" s="37">
        <f t="shared" si="4"/>
        <v>0</v>
      </c>
      <c r="P31" s="3"/>
      <c r="T31" s="16"/>
      <c r="U31" s="15"/>
      <c r="V31" s="16"/>
      <c r="W31" s="145" t="str">
        <f t="shared" si="8"/>
        <v>Unfilled fields on left</v>
      </c>
      <c r="X31" s="6"/>
      <c r="Y31" s="13"/>
      <c r="Z31" s="3"/>
    </row>
    <row r="32" spans="2:26">
      <c r="B32" s="9"/>
      <c r="C32" s="8"/>
      <c r="D32" s="8"/>
      <c r="E32" s="157"/>
      <c r="F32" s="157"/>
      <c r="G32" s="157"/>
      <c r="H32" s="159"/>
      <c r="I32" s="159"/>
      <c r="J32" s="159"/>
      <c r="K32" s="159"/>
      <c r="L32" s="159"/>
      <c r="M32" s="159"/>
      <c r="N32" s="14"/>
      <c r="O32" s="37">
        <f t="shared" si="4"/>
        <v>0</v>
      </c>
      <c r="P32" s="3"/>
      <c r="T32" s="16"/>
      <c r="U32" s="15"/>
      <c r="V32" s="16"/>
      <c r="W32" s="145" t="str">
        <f t="shared" si="8"/>
        <v>Unfilled fields on left</v>
      </c>
      <c r="X32" s="6"/>
      <c r="Y32" s="13"/>
      <c r="Z32" s="3"/>
    </row>
    <row r="33" spans="2:26">
      <c r="B33" s="9"/>
      <c r="C33" s="8"/>
      <c r="D33" s="8"/>
      <c r="E33" s="157"/>
      <c r="F33" s="157"/>
      <c r="G33" s="157"/>
      <c r="H33" s="159"/>
      <c r="I33" s="159"/>
      <c r="J33" s="159"/>
      <c r="K33" s="159"/>
      <c r="L33" s="159"/>
      <c r="M33" s="159"/>
      <c r="N33" s="14"/>
      <c r="O33" s="37">
        <f t="shared" si="4"/>
        <v>0</v>
      </c>
      <c r="P33" s="3"/>
      <c r="T33" s="16"/>
      <c r="U33" s="15"/>
      <c r="V33" s="16"/>
      <c r="W33" s="145" t="str">
        <f t="shared" si="8"/>
        <v>Unfilled fields on left</v>
      </c>
      <c r="X33" s="6"/>
      <c r="Y33" s="13"/>
      <c r="Z33" s="3"/>
    </row>
    <row r="34" spans="2:26">
      <c r="C34" s="10"/>
      <c r="D34" s="10"/>
      <c r="E34" s="11"/>
      <c r="F34" s="10"/>
      <c r="H34" s="12"/>
      <c r="I34" s="12"/>
      <c r="J34" s="12"/>
      <c r="K34" s="12"/>
      <c r="L34" s="12"/>
      <c r="M34" s="12"/>
      <c r="N34" s="14"/>
      <c r="O34" s="12"/>
      <c r="P34" s="3"/>
      <c r="T34" s="12"/>
      <c r="U34" s="15"/>
      <c r="V34" s="12"/>
      <c r="W34" s="32"/>
      <c r="Z34" s="3"/>
    </row>
    <row r="35" spans="2:26">
      <c r="N35" s="14"/>
      <c r="P35" s="3"/>
      <c r="V35" s="29" t="s">
        <v>159</v>
      </c>
      <c r="W35" s="148">
        <f>SUM(W4:W34)</f>
        <v>0</v>
      </c>
      <c r="Z35" s="3"/>
    </row>
    <row r="36" spans="2:26">
      <c r="B36" s="142" t="s">
        <v>257</v>
      </c>
      <c r="C36" s="138"/>
      <c r="D36" s="138"/>
      <c r="E36" s="138"/>
      <c r="P36" s="3"/>
      <c r="Z36" s="3"/>
    </row>
    <row r="37" spans="2:26">
      <c r="B37" s="9" t="s">
        <v>258</v>
      </c>
      <c r="C37" s="8" t="s">
        <v>259</v>
      </c>
      <c r="D37" s="8" t="s">
        <v>160</v>
      </c>
      <c r="E37" s="9"/>
    </row>
    <row r="38" spans="2:26">
      <c r="B38" s="9"/>
      <c r="C38" s="8"/>
      <c r="D38" s="8"/>
      <c r="E38" s="9"/>
    </row>
    <row r="39" spans="2:26">
      <c r="B39" s="9"/>
      <c r="C39" s="8"/>
      <c r="D39" s="8"/>
      <c r="E39" s="9"/>
    </row>
    <row r="40" spans="2:26">
      <c r="B40" s="9"/>
      <c r="C40" s="9"/>
      <c r="D40" s="9"/>
      <c r="E40" s="9"/>
    </row>
    <row r="41" spans="2:26">
      <c r="E41" s="3"/>
      <c r="H41" s="3"/>
    </row>
    <row r="42" spans="2:26">
      <c r="E42" s="3"/>
      <c r="H42" s="3"/>
    </row>
    <row r="43" spans="2:26">
      <c r="E43" s="3"/>
      <c r="H43" s="3"/>
    </row>
    <row r="44" spans="2:26">
      <c r="E44" s="3"/>
      <c r="H44" s="3"/>
    </row>
    <row r="45" spans="2:26">
      <c r="E45" s="3"/>
      <c r="H45" s="3"/>
    </row>
    <row r="46" spans="2:26">
      <c r="E46" s="3"/>
      <c r="H46" s="3"/>
    </row>
    <row r="47" spans="2:26">
      <c r="E47" s="3"/>
      <c r="H47" s="3"/>
    </row>
    <row r="48" spans="2:26">
      <c r="E48" s="3"/>
      <c r="H48" s="3"/>
    </row>
    <row r="49" spans="5:8">
      <c r="E49" s="3"/>
      <c r="H49" s="3"/>
    </row>
    <row r="50" spans="5:8">
      <c r="E50" s="3"/>
      <c r="H50" s="3"/>
    </row>
    <row r="51" spans="5:8">
      <c r="E51" s="3"/>
      <c r="H51" s="3"/>
    </row>
    <row r="52" spans="5:8">
      <c r="E52" s="3"/>
      <c r="H52" s="3"/>
    </row>
    <row r="53" spans="5:8">
      <c r="E53" s="3"/>
      <c r="H53" s="3"/>
    </row>
  </sheetData>
  <dataValidations count="1">
    <dataValidation type="list" allowBlank="1" showInputMessage="1" showErrorMessage="1" sqref="D5:D14 D17:D33" xr:uid="{2B78AC28-7B51-442E-A11D-0042E59CEC0D}">
      <formula1>"tonnes/yr, MWh/yr (LHV)"</formula1>
    </dataValidation>
  </dataValidations>
  <pageMargins left="0.70000000000000007" right="0.70000000000000007" top="0.75" bottom="0.75" header="0.30000000000000004" footer="0.30000000000000004"/>
  <pageSetup paperSize="9" orientation="portrait" horizontalDpi="0" verticalDpi="0" r:id="rId1"/>
  <ignoredErrors>
    <ignoredError sqref="P17:S19 T5:W23 T25:W33 T24:U24 W24 O5:O33" unlocked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23379f8-d003-42cf-8725-7521c2e7a6e3">
      <Terms xmlns="http://schemas.microsoft.com/office/infopath/2007/PartnerControls"/>
    </lcf76f155ced4ddcb4097134ff3c332f>
    <TaxCatchAll xmlns="911db7ac-2230-4c99-9e2a-b0f41075dc2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529B952D3B2ED47BD6BBE1445414365" ma:contentTypeVersion="13" ma:contentTypeDescription="Create a new document." ma:contentTypeScope="" ma:versionID="55c3ef9e43c5094765b3be028739a394">
  <xsd:schema xmlns:xsd="http://www.w3.org/2001/XMLSchema" xmlns:xs="http://www.w3.org/2001/XMLSchema" xmlns:p="http://schemas.microsoft.com/office/2006/metadata/properties" xmlns:ns2="223379f8-d003-42cf-8725-7521c2e7a6e3" xmlns:ns3="911db7ac-2230-4c99-9e2a-b0f41075dc29" targetNamespace="http://schemas.microsoft.com/office/2006/metadata/properties" ma:root="true" ma:fieldsID="4fd2ed7b7e7fcf03780f19b9d28b48db" ns2:_="" ns3:_="">
    <xsd:import namespace="223379f8-d003-42cf-8725-7521c2e7a6e3"/>
    <xsd:import namespace="911db7ac-2230-4c99-9e2a-b0f41075dc2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3379f8-d003-42cf-8725-7521c2e7a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7f6caf4-ed07-4ce4-a2d1-120a4826e92a"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1db7ac-2230-4c99-9e2a-b0f41075dc2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2461748-ca2b-41a2-9d0b-83fe7e0917f8}" ma:internalName="TaxCatchAll" ma:showField="CatchAllData" ma:web="911db7ac-2230-4c99-9e2a-b0f41075dc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430AE4-1BB4-432E-8FFD-9620639F63EF}">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purl.org/dc/dcmitype/"/>
    <ds:schemaRef ds:uri="http://schemas.openxmlformats.org/package/2006/metadata/core-properties"/>
    <ds:schemaRef ds:uri="911db7ac-2230-4c99-9e2a-b0f41075dc29"/>
    <ds:schemaRef ds:uri="223379f8-d003-42cf-8725-7521c2e7a6e3"/>
    <ds:schemaRef ds:uri="http://www.w3.org/XML/1998/namespace"/>
  </ds:schemaRefs>
</ds:datastoreItem>
</file>

<file path=customXml/itemProps2.xml><?xml version="1.0" encoding="utf-8"?>
<ds:datastoreItem xmlns:ds="http://schemas.openxmlformats.org/officeDocument/2006/customXml" ds:itemID="{0F2395B3-9A86-4DBA-84F4-56AAC38CB4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3379f8-d003-42cf-8725-7521c2e7a6e3"/>
    <ds:schemaRef ds:uri="911db7ac-2230-4c99-9e2a-b0f41075dc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7ECBB3-2596-4F0C-A0D5-52929F551A37}">
  <ds:schemaRefs>
    <ds:schemaRef ds:uri="http://schemas.microsoft.com/sharepoint/v3/contenttype/forms"/>
  </ds:schemaRefs>
</ds:datastoreItem>
</file>

<file path=docMetadata/LabelInfo.xml><?xml version="1.0" encoding="utf-8"?>
<clbl:labelList xmlns:clbl="http://schemas.microsoft.com/office/2020/mipLabelMetadata">
  <clbl:label id="{02f252f2-5585-4f85-90db-06520d3c5dd1}" enabled="0" method="" siteId="{02f252f2-5585-4f85-90db-06520d3c5dd1}" removed="1"/>
  <clbl:label id="{a6c0d0a6-a4b9-4802-9a97-568759608577}" enabled="1" method="Standard" siteId="{f2fe6bd3-9c4a-485b-ae69-e18820a88130}"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Guidance</vt:lpstr>
      <vt:lpstr>Units</vt:lpstr>
      <vt:lpstr>Assumptions</vt:lpstr>
      <vt:lpstr>Summary</vt:lpstr>
      <vt:lpstr>System Boundary</vt:lpstr>
      <vt:lpstr>Additional evidence</vt:lpstr>
      <vt:lpstr>RCF counterfactual</vt:lpstr>
      <vt:lpstr>Feedstock collection</vt:lpstr>
      <vt:lpstr>Feedstock transport</vt:lpstr>
      <vt:lpstr>Pre-processing</vt:lpstr>
      <vt:lpstr>Intermediate transport</vt:lpstr>
      <vt:lpstr>Conversion</vt:lpstr>
      <vt:lpstr>Further transport</vt:lpstr>
      <vt:lpstr>Upgrading to fuel</vt:lpstr>
      <vt:lpstr>Fuel distribution 1</vt:lpstr>
      <vt:lpstr>Fuel storage</vt:lpstr>
      <vt:lpstr>Fuel distribution 2</vt:lpstr>
      <vt:lpstr>Refuelling</vt:lpstr>
      <vt:lpstr>bbl_to_USgal</vt:lpstr>
      <vt:lpstr>kWh_to_MJ</vt:lpstr>
      <vt:lpstr>Yes_No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H GHG Calculation for Advanced Fuels Fund</dc:title>
  <dc:subject/>
  <dc:creator>Eloise Cotton</dc:creator>
  <cp:keywords/>
  <dc:description/>
  <cp:lastModifiedBy>Richard Taylor</cp:lastModifiedBy>
  <cp:revision/>
  <dcterms:created xsi:type="dcterms:W3CDTF">2012-01-05T14:11:32Z</dcterms:created>
  <dcterms:modified xsi:type="dcterms:W3CDTF">2025-03-07T00:06:40Z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0x0101003529B952D3B2ED47BD6BBE1445414365</vt:lpwstr>
  </property>
  <property fmtid="{D5CDD505-2E9C-101B-9397-08002B2CF9AE}" pid="3" name="URL">
    <vt:lpwstr/>
  </property>
  <property fmtid="{D5CDD505-2E9C-101B-9397-08002B2CF9AE}" pid="4" name="_ExtendedDescription">
    <vt:lpwstr/>
  </property>
  <property fmtid="{D5CDD505-2E9C-101B-9397-08002B2CF9AE}" pid="5" name="MediaServiceImageTags">
    <vt:lpwstr/>
  </property>
  <property fmtid="{D5CDD505-2E9C-101B-9397-08002B2CF9AE}" pid="6" name="BusinessArea">
    <vt:lpwstr/>
  </property>
  <property fmtid="{D5CDD505-2E9C-101B-9397-08002B2CF9AE}" pid="7" name="AgressoCustomer">
    <vt:lpwstr/>
  </property>
  <property fmtid="{D5CDD505-2E9C-101B-9397-08002B2CF9AE}" pid="8" name="R-DivisionPolicy">
    <vt:lpwstr/>
  </property>
  <property fmtid="{D5CDD505-2E9C-101B-9397-08002B2CF9AE}" pid="9" name="R-Keywords">
    <vt:lpwstr/>
  </property>
  <property fmtid="{D5CDD505-2E9C-101B-9397-08002B2CF9AE}" pid="10" name="Market Sector">
    <vt:lpwstr/>
  </property>
  <property fmtid="{D5CDD505-2E9C-101B-9397-08002B2CF9AE}" pid="11" name="R-Division">
    <vt:lpwstr/>
  </property>
  <property fmtid="{D5CDD505-2E9C-101B-9397-08002B2CF9AE}" pid="12" name="Document Type">
    <vt:lpwstr>1;#Project Document|df098213-6b74-42fc-9316-2f1a9531d8f9</vt:lpwstr>
  </property>
  <property fmtid="{D5CDD505-2E9C-101B-9397-08002B2CF9AE}" pid="13" name="Order">
    <vt:r8>2200</vt:r8>
  </property>
</Properties>
</file>